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135" windowWidth="19320" windowHeight="12285" activeTab="0"/>
  </bookViews>
  <sheets>
    <sheet name="Data Entry Sheet" sheetId="1" r:id="rId1"/>
    <sheet name="Stability" sheetId="2" r:id="rId2"/>
    <sheet name="Graphs" sheetId="3" r:id="rId3"/>
    <sheet name="Constants" sheetId="4" r:id="rId4"/>
  </sheets>
  <externalReferences>
    <externalReference r:id="rId7"/>
    <externalReference r:id="rId8"/>
  </externalReferences>
  <definedNames>
    <definedName name="Ambient">OFFSET('Stability'!$C$19,0,0,COUNT('Stability'!$B$19:$B$43))</definedName>
    <definedName name="Control">OFFSET('Stability'!$D$19,0,0,COUNT('Stability'!$B$19:$B$43))</definedName>
    <definedName name="Cycle_No">OFFSET('Stability'!$B$19,0,0,COUNT('Stability'!$B$19:$B$43))</definedName>
    <definedName name="_xlnm.Print_Area" localSheetId="2">'Graphs'!$A$1:$I$59</definedName>
    <definedName name="ReportNo">'[1]Data Entry Sheet'!$C$3</definedName>
    <definedName name="Res1">OFFSET('Stability'!$I$54,0,0,COUNT('Stability'!$B$19:$B$43))</definedName>
    <definedName name="Res2">OFFSET('Stability'!$J$54,0,0,COUNT('Stability'!$B$19:$B$43))</definedName>
    <definedName name="Res3">OFFSET('Stability'!$K$54,0,0,COUNT('Stability'!$B$19:$B$43))</definedName>
    <definedName name="RES4">OFFSET('Stability'!$L$54,0,0,COUNT('Stability'!$B$19:$B$43))</definedName>
    <definedName name="Sample1">OFFSET('Stability'!$E$19,0,0,COUNT('Stability'!$B$19:$B$43))</definedName>
    <definedName name="Sample2">OFFSET('Stability'!$G$19,0,0,COUNT('Stability'!$B$19:$B$43))</definedName>
    <definedName name="Sample3">OFFSET('Stability'!$G$19,0,0,COUNT('Stability'!$B$19:$B$43))</definedName>
    <definedName name="Sample4">OFFSET('Stability'!$H$19,0,0,COUNT('Stability'!$B$19:$B$43))</definedName>
    <definedName name="Test_Classes">'Constants'!$F$2:$F$5</definedName>
    <definedName name="Test_Methods">'Constants'!$G$1:$G$3</definedName>
    <definedName name="Type">'Constants'!$I$2:$I$3</definedName>
    <definedName name="Wire_Type">'Constants'!$A:$A</definedName>
  </definedNames>
  <calcPr fullCalcOnLoad="1"/>
</workbook>
</file>

<file path=xl/comments1.xml><?xml version="1.0" encoding="utf-8"?>
<comments xmlns="http://schemas.openxmlformats.org/spreadsheetml/2006/main">
  <authors>
    <author>rwestbrook</author>
    <author>XP</author>
  </authors>
  <commentList>
    <comment ref="J33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Added Color and numbers here
Our lab techs asked for this to be able to follow straight across from the measurement point</t>
        </r>
      </text>
    </comment>
    <comment ref="B36" authorId="1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Type in Actual Cycle #</t>
        </r>
      </text>
    </comment>
  </commentList>
</comments>
</file>

<file path=xl/comments2.xml><?xml version="1.0" encoding="utf-8"?>
<comments xmlns="http://schemas.openxmlformats.org/spreadsheetml/2006/main">
  <authors>
    <author>rwestbrook</author>
  </authors>
  <commentList>
    <comment ref="E19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Red</t>
        </r>
        <r>
          <rPr>
            <sz val="8"/>
            <rFont val="Tahoma"/>
            <family val="0"/>
          </rPr>
          <t xml:space="preserve"> highlighted values are above the control conductor</t>
        </r>
      </text>
    </comment>
    <comment ref="M19" authorId="0">
      <text>
        <r>
          <rPr>
            <b/>
            <sz val="8"/>
            <rFont val="Tahoma"/>
            <family val="0"/>
          </rPr>
          <t xml:space="preserve">rwestbrook:
</t>
        </r>
        <r>
          <rPr>
            <b/>
            <sz val="8"/>
            <color indexed="10"/>
            <rFont val="Tahoma"/>
            <family val="2"/>
          </rPr>
          <t>Red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Highlights Values out of Tolerance</t>
        </r>
      </text>
    </comment>
    <comment ref="C5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Type in AL, CU, ACSR</t>
        </r>
      </text>
    </comment>
    <comment ref="F5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Type in AL, CU, ACSR</t>
        </r>
      </text>
    </comment>
  </commentList>
</comments>
</file>

<file path=xl/sharedStrings.xml><?xml version="1.0" encoding="utf-8"?>
<sst xmlns="http://schemas.openxmlformats.org/spreadsheetml/2006/main" count="166" uniqueCount="78">
  <si>
    <t>Project #</t>
  </si>
  <si>
    <t>Connector Resistance (Measured)</t>
  </si>
  <si>
    <t>C1</t>
  </si>
  <si>
    <t>C2</t>
  </si>
  <si>
    <t>C3</t>
  </si>
  <si>
    <t>C4</t>
  </si>
  <si>
    <t>Connector Temp (°C)</t>
  </si>
  <si>
    <t>Micro Ohms (μΩ)</t>
  </si>
  <si>
    <t>Temperature Difference (°C)</t>
  </si>
  <si>
    <t>Average  Temperature Difference</t>
  </si>
  <si>
    <t>Average Resistance</t>
  </si>
  <si>
    <t>Min Acceptable Resistance</t>
  </si>
  <si>
    <t>Max Allowable Resistance</t>
  </si>
  <si>
    <t>Part Tested:</t>
  </si>
  <si>
    <t xml:space="preserve">Size </t>
  </si>
  <si>
    <t>Type</t>
  </si>
  <si>
    <t>Length</t>
  </si>
  <si>
    <t xml:space="preserve">Date Completed:_ </t>
  </si>
  <si>
    <t>Conductor Preparation:</t>
  </si>
  <si>
    <t>Amps</t>
  </si>
  <si>
    <t>Current Cycle: On Period (Hrs)</t>
  </si>
  <si>
    <t>Off Period (Hrs)</t>
  </si>
  <si>
    <t xml:space="preserve">Date Started: </t>
  </si>
  <si>
    <t>Cable (main)</t>
  </si>
  <si>
    <t xml:space="preserve">Test Current: </t>
  </si>
  <si>
    <t xml:space="preserve">Compounded? </t>
  </si>
  <si>
    <t>Wire Brushed?</t>
  </si>
  <si>
    <t>1. The connector temperature cannot exceed the control conductor temperature</t>
  </si>
  <si>
    <t>Cycle Number</t>
  </si>
  <si>
    <t>Ambient (°C)</t>
  </si>
  <si>
    <t>Control Conductor (°C)</t>
  </si>
  <si>
    <t xml:space="preserve">Maximum Stability Factor </t>
  </si>
  <si>
    <t>Stability Factor (Si)</t>
  </si>
  <si>
    <t>Class of Test</t>
  </si>
  <si>
    <t>AL</t>
  </si>
  <si>
    <t>CU</t>
  </si>
  <si>
    <t>Test Method:</t>
  </si>
  <si>
    <t>Connector Resistance                         (Corrected to 20C)</t>
  </si>
  <si>
    <t>Measurement Point</t>
  </si>
  <si>
    <t>Current Cycle Data Sheet</t>
  </si>
  <si>
    <t>ACSR</t>
  </si>
  <si>
    <t>CCT</t>
  </si>
  <si>
    <t>2. The stability factor “Si” shall not exceed 10 for each of the connector temperature measurements recorded at the specified intervals.</t>
  </si>
  <si>
    <t>3. The resistance of the connectors tested shall not vary by more than 5% from the average of the measured values.</t>
  </si>
  <si>
    <t>Resistance constants</t>
  </si>
  <si>
    <t>Wire Type</t>
  </si>
  <si>
    <t>* Record Ambient at time resistance is measured</t>
  </si>
  <si>
    <t>No</t>
  </si>
  <si>
    <t>Yes</t>
  </si>
  <si>
    <t xml:space="preserve"> </t>
  </si>
  <si>
    <t>Heat Cycle Temperature and Resistance Graphs</t>
  </si>
  <si>
    <t>Stranding</t>
  </si>
  <si>
    <t>n/a</t>
  </si>
  <si>
    <t>Insulation</t>
  </si>
  <si>
    <t>Cable (Tap)</t>
  </si>
  <si>
    <t>Compound</t>
  </si>
  <si>
    <t>Measurement Points</t>
  </si>
  <si>
    <t>Connector Type:</t>
  </si>
  <si>
    <t>Req'd Cycle Number</t>
  </si>
  <si>
    <t>Actual Cycle number</t>
  </si>
  <si>
    <r>
      <t>Ambient @ Reading (</t>
    </r>
    <r>
      <rPr>
        <b/>
        <sz val="10"/>
        <rFont val="Arial"/>
        <family val="0"/>
      </rPr>
      <t>°</t>
    </r>
    <r>
      <rPr>
        <b/>
        <sz val="10"/>
        <rFont val="Arial"/>
        <family val="2"/>
      </rPr>
      <t>C)</t>
    </r>
  </si>
  <si>
    <t>A</t>
  </si>
  <si>
    <t>ANSI C119.4</t>
  </si>
  <si>
    <t>Select Type</t>
  </si>
  <si>
    <t>Insulation Piercing</t>
  </si>
  <si>
    <t>ANSI C119.5</t>
  </si>
  <si>
    <t>Project / Test  #</t>
  </si>
  <si>
    <t>100-105</t>
  </si>
  <si>
    <t>120-130</t>
  </si>
  <si>
    <t>145-155</t>
  </si>
  <si>
    <t>170-180</t>
  </si>
  <si>
    <t>195-205</t>
  </si>
  <si>
    <t>235-245</t>
  </si>
  <si>
    <t>275-285</t>
  </si>
  <si>
    <t>320-330</t>
  </si>
  <si>
    <t>395-405</t>
  </si>
  <si>
    <t>475-485</t>
  </si>
  <si>
    <t>570-580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</si>
</sst>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00"/>
    <numFmt numFmtId="170" formatCode="0.000000"/>
    <numFmt numFmtId="171" formatCode="0.00000000"/>
    <numFmt numFmtId="172" formatCode="0.000000000"/>
    <numFmt numFmtId="173" formatCode="0.0000000000"/>
    <numFmt numFmtId="174" formatCode="0.00000000000"/>
    <numFmt numFmtId="175" formatCode="0.00000"/>
    <numFmt numFmtId="176" formatCode="0.0000"/>
    <numFmt numFmtId="177" formatCode="0.000"/>
    <numFmt numFmtId="178" formatCode="mm/dd/yyyy"/>
    <numFmt numFmtId="179" formatCode="0.0%"/>
    <numFmt numFmtId="180" formatCode="0_)"/>
    <numFmt numFmtId="181" formatCode="[$-409]dddd\,\ mmmm\ dd\,\ yyyy"/>
    <numFmt numFmtId="182" formatCode="m/d/yy;@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6"/>
      <name val="Arial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Tahoma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22" borderId="12" xfId="0" applyFont="1" applyFill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5" fillId="22" borderId="14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8" fontId="5" fillId="0" borderId="0" xfId="0" applyNumberFormat="1" applyFont="1" applyBorder="1" applyAlignment="1" applyProtection="1">
      <alignment horizontal="center"/>
      <protection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3" fillId="0" borderId="0" xfId="0" applyFont="1" applyFill="1" applyAlignment="1">
      <alignment horizontal="left"/>
    </xf>
    <xf numFmtId="0" fontId="5" fillId="0" borderId="19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168" fontId="5" fillId="0" borderId="21" xfId="0" applyNumberFormat="1" applyFont="1" applyBorder="1" applyAlignment="1">
      <alignment horizontal="center"/>
    </xf>
    <xf numFmtId="168" fontId="5" fillId="0" borderId="19" xfId="0" applyNumberFormat="1" applyFont="1" applyBorder="1" applyAlignment="1">
      <alignment horizontal="center"/>
    </xf>
    <xf numFmtId="168" fontId="5" fillId="0" borderId="22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24" borderId="19" xfId="0" applyFill="1" applyBorder="1" applyAlignment="1">
      <alignment/>
    </xf>
    <xf numFmtId="0" fontId="18" fillId="0" borderId="0" xfId="0" applyFont="1" applyAlignment="1">
      <alignment/>
    </xf>
    <xf numFmtId="0" fontId="0" fillId="0" borderId="17" xfId="0" applyBorder="1" applyAlignment="1">
      <alignment/>
    </xf>
    <xf numFmtId="0" fontId="4" fillId="0" borderId="19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168" fontId="0" fillId="0" borderId="17" xfId="0" applyNumberFormat="1" applyBorder="1" applyAlignment="1" applyProtection="1">
      <alignment horizontal="center"/>
      <protection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39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/>
    </xf>
    <xf numFmtId="168" fontId="0" fillId="0" borderId="18" xfId="0" applyNumberFormat="1" applyFill="1" applyBorder="1" applyAlignment="1">
      <alignment horizontal="center"/>
    </xf>
    <xf numFmtId="168" fontId="0" fillId="0" borderId="19" xfId="0" applyNumberFormat="1" applyFill="1" applyBorder="1" applyAlignment="1">
      <alignment horizontal="center"/>
    </xf>
    <xf numFmtId="168" fontId="0" fillId="0" borderId="25" xfId="0" applyNumberFormat="1" applyFill="1" applyBorder="1" applyAlignment="1">
      <alignment horizontal="center"/>
    </xf>
    <xf numFmtId="168" fontId="0" fillId="0" borderId="22" xfId="0" applyNumberFormat="1" applyFill="1" applyBorder="1" applyAlignment="1">
      <alignment horizontal="center"/>
    </xf>
    <xf numFmtId="168" fontId="5" fillId="0" borderId="16" xfId="0" applyNumberFormat="1" applyFont="1" applyBorder="1" applyAlignment="1">
      <alignment horizontal="center"/>
    </xf>
    <xf numFmtId="168" fontId="5" fillId="0" borderId="26" xfId="0" applyNumberFormat="1" applyFont="1" applyBorder="1" applyAlignment="1">
      <alignment horizontal="center"/>
    </xf>
    <xf numFmtId="168" fontId="5" fillId="0" borderId="18" xfId="0" applyNumberFormat="1" applyFont="1" applyBorder="1" applyAlignment="1">
      <alignment horizontal="center"/>
    </xf>
    <xf numFmtId="168" fontId="5" fillId="0" borderId="27" xfId="0" applyNumberFormat="1" applyFont="1" applyBorder="1" applyAlignment="1">
      <alignment horizontal="center"/>
    </xf>
    <xf numFmtId="168" fontId="5" fillId="0" borderId="25" xfId="0" applyNumberFormat="1" applyFont="1" applyBorder="1" applyAlignment="1">
      <alignment horizontal="center"/>
    </xf>
    <xf numFmtId="168" fontId="5" fillId="0" borderId="28" xfId="0" applyNumberFormat="1" applyFont="1" applyBorder="1" applyAlignment="1">
      <alignment horizontal="center"/>
    </xf>
    <xf numFmtId="0" fontId="5" fillId="22" borderId="29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68" fontId="5" fillId="0" borderId="31" xfId="0" applyNumberFormat="1" applyFont="1" applyBorder="1" applyAlignment="1" applyProtection="1">
      <alignment horizontal="center"/>
      <protection/>
    </xf>
    <xf numFmtId="0" fontId="5" fillId="20" borderId="31" xfId="0" applyFont="1" applyFill="1" applyBorder="1" applyAlignment="1" applyProtection="1">
      <alignment horizontal="center"/>
      <protection/>
    </xf>
    <xf numFmtId="0" fontId="5" fillId="20" borderId="32" xfId="0" applyFont="1" applyFill="1" applyBorder="1" applyAlignment="1" applyProtection="1">
      <alignment horizontal="center"/>
      <protection/>
    </xf>
    <xf numFmtId="0" fontId="5" fillId="20" borderId="25" xfId="0" applyFont="1" applyFill="1" applyBorder="1" applyAlignment="1" applyProtection="1">
      <alignment horizontal="center"/>
      <protection/>
    </xf>
    <xf numFmtId="168" fontId="5" fillId="0" borderId="25" xfId="0" applyNumberFormat="1" applyFont="1" applyBorder="1" applyAlignment="1" applyProtection="1">
      <alignment horizontal="center"/>
      <protection/>
    </xf>
    <xf numFmtId="168" fontId="5" fillId="0" borderId="28" xfId="0" applyNumberFormat="1" applyFont="1" applyBorder="1" applyAlignment="1" applyProtection="1">
      <alignment horizontal="center"/>
      <protection/>
    </xf>
    <xf numFmtId="0" fontId="5" fillId="22" borderId="33" xfId="0" applyFont="1" applyFill="1" applyBorder="1" applyAlignment="1">
      <alignment horizontal="center"/>
    </xf>
    <xf numFmtId="168" fontId="0" fillId="0" borderId="30" xfId="0" applyNumberFormat="1" applyFill="1" applyBorder="1" applyAlignment="1" applyProtection="1">
      <alignment horizontal="center"/>
      <protection/>
    </xf>
    <xf numFmtId="168" fontId="0" fillId="0" borderId="34" xfId="0" applyNumberFormat="1" applyFill="1" applyBorder="1" applyAlignment="1" applyProtection="1">
      <alignment horizontal="center"/>
      <protection/>
    </xf>
    <xf numFmtId="0" fontId="0" fillId="0" borderId="2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68" fontId="5" fillId="0" borderId="35" xfId="0" applyNumberFormat="1" applyFont="1" applyBorder="1" applyAlignment="1" applyProtection="1">
      <alignment horizontal="center"/>
      <protection/>
    </xf>
    <xf numFmtId="0" fontId="5" fillId="20" borderId="36" xfId="0" applyFont="1" applyFill="1" applyBorder="1" applyAlignment="1" applyProtection="1">
      <alignment horizontal="center"/>
      <protection/>
    </xf>
    <xf numFmtId="168" fontId="0" fillId="0" borderId="16" xfId="0" applyNumberFormat="1" applyBorder="1" applyAlignment="1" applyProtection="1">
      <alignment horizontal="center"/>
      <protection/>
    </xf>
    <xf numFmtId="168" fontId="0" fillId="0" borderId="30" xfId="0" applyNumberFormat="1" applyBorder="1" applyAlignment="1" applyProtection="1">
      <alignment horizontal="center"/>
      <protection/>
    </xf>
    <xf numFmtId="0" fontId="5" fillId="20" borderId="37" xfId="0" applyFont="1" applyFill="1" applyBorder="1" applyAlignment="1" applyProtection="1">
      <alignment horizontal="center"/>
      <protection/>
    </xf>
    <xf numFmtId="168" fontId="5" fillId="0" borderId="27" xfId="0" applyNumberFormat="1" applyFont="1" applyBorder="1" applyAlignment="1" applyProtection="1">
      <alignment horizontal="center"/>
      <protection/>
    </xf>
    <xf numFmtId="0" fontId="0" fillId="0" borderId="38" xfId="0" applyFill="1" applyBorder="1" applyAlignment="1">
      <alignment horizontal="center"/>
    </xf>
    <xf numFmtId="168" fontId="0" fillId="0" borderId="31" xfId="0" applyNumberFormat="1" applyFill="1" applyBorder="1" applyAlignment="1" applyProtection="1">
      <alignment horizontal="center"/>
      <protection/>
    </xf>
    <xf numFmtId="168" fontId="0" fillId="0" borderId="32" xfId="0" applyNumberFormat="1" applyFill="1" applyBorder="1" applyAlignment="1" applyProtection="1">
      <alignment horizontal="center"/>
      <protection/>
    </xf>
    <xf numFmtId="168" fontId="0" fillId="0" borderId="17" xfId="0" applyNumberFormat="1" applyFill="1" applyBorder="1" applyAlignment="1" applyProtection="1">
      <alignment horizontal="center"/>
      <protection/>
    </xf>
    <xf numFmtId="168" fontId="0" fillId="0" borderId="39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7" fontId="5" fillId="0" borderId="10" xfId="0" applyNumberFormat="1" applyFont="1" applyBorder="1" applyAlignment="1" quotePrefix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10" xfId="0" applyNumberFormat="1" applyFont="1" applyBorder="1" applyAlignment="1" quotePrefix="1">
      <alignment/>
    </xf>
    <xf numFmtId="49" fontId="5" fillId="0" borderId="10" xfId="0" applyNumberFormat="1" applyFont="1" applyBorder="1" applyAlignment="1">
      <alignment/>
    </xf>
    <xf numFmtId="17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/>
    </xf>
    <xf numFmtId="0" fontId="5" fillId="0" borderId="43" xfId="0" applyFont="1" applyFill="1" applyBorder="1" applyAlignment="1">
      <alignment/>
    </xf>
    <xf numFmtId="0" fontId="0" fillId="0" borderId="0" xfId="0" applyBorder="1" applyAlignment="1">
      <alignment/>
    </xf>
    <xf numFmtId="168" fontId="0" fillId="0" borderId="19" xfId="0" applyNumberFormat="1" applyFill="1" applyBorder="1" applyAlignment="1" applyProtection="1">
      <alignment horizontal="center"/>
      <protection/>
    </xf>
    <xf numFmtId="168" fontId="0" fillId="0" borderId="19" xfId="0" applyNumberFormat="1" applyBorder="1" applyAlignment="1">
      <alignment horizontal="center"/>
    </xf>
    <xf numFmtId="168" fontId="0" fillId="0" borderId="25" xfId="0" applyNumberFormat="1" applyFill="1" applyBorder="1" applyAlignment="1" applyProtection="1">
      <alignment horizontal="center"/>
      <protection/>
    </xf>
    <xf numFmtId="168" fontId="0" fillId="0" borderId="28" xfId="0" applyNumberFormat="1" applyFill="1" applyBorder="1" applyAlignment="1">
      <alignment horizontal="center"/>
    </xf>
    <xf numFmtId="168" fontId="5" fillId="0" borderId="44" xfId="0" applyNumberFormat="1" applyFont="1" applyBorder="1" applyAlignment="1" applyProtection="1">
      <alignment horizontal="center"/>
      <protection/>
    </xf>
    <xf numFmtId="0" fontId="5" fillId="20" borderId="45" xfId="0" applyFont="1" applyFill="1" applyBorder="1" applyAlignment="1" applyProtection="1">
      <alignment horizontal="center"/>
      <protection/>
    </xf>
    <xf numFmtId="0" fontId="0" fillId="0" borderId="34" xfId="0" applyFill="1" applyBorder="1" applyAlignment="1">
      <alignment horizontal="center"/>
    </xf>
    <xf numFmtId="0" fontId="0" fillId="0" borderId="21" xfId="0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168" fontId="0" fillId="0" borderId="22" xfId="0" applyNumberFormat="1" applyBorder="1" applyAlignment="1">
      <alignment horizontal="center"/>
    </xf>
    <xf numFmtId="0" fontId="0" fillId="4" borderId="16" xfId="0" applyFill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2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wrapText="1"/>
    </xf>
    <xf numFmtId="0" fontId="5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4" fillId="22" borderId="19" xfId="0" applyFont="1" applyFill="1" applyBorder="1" applyAlignment="1">
      <alignment horizontal="left"/>
    </xf>
    <xf numFmtId="0" fontId="5" fillId="22" borderId="47" xfId="0" applyFont="1" applyFill="1" applyBorder="1" applyAlignment="1" applyProtection="1">
      <alignment/>
      <protection/>
    </xf>
    <xf numFmtId="0" fontId="5" fillId="22" borderId="10" xfId="0" applyFont="1" applyFill="1" applyBorder="1" applyAlignment="1" applyProtection="1">
      <alignment/>
      <protection/>
    </xf>
    <xf numFmtId="0" fontId="5" fillId="22" borderId="48" xfId="0" applyFont="1" applyFill="1" applyBorder="1" applyAlignment="1" applyProtection="1">
      <alignment/>
      <protection/>
    </xf>
    <xf numFmtId="0" fontId="5" fillId="22" borderId="10" xfId="0" applyFont="1" applyFill="1" applyBorder="1" applyAlignment="1">
      <alignment horizontal="center"/>
    </xf>
    <xf numFmtId="17" fontId="5" fillId="22" borderId="10" xfId="0" applyNumberFormat="1" applyFont="1" applyFill="1" applyBorder="1" applyAlignment="1">
      <alignment/>
    </xf>
    <xf numFmtId="0" fontId="5" fillId="22" borderId="19" xfId="0" applyFont="1" applyFill="1" applyBorder="1" applyAlignment="1">
      <alignment/>
    </xf>
    <xf numFmtId="49" fontId="5" fillId="22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5" fillId="22" borderId="43" xfId="0" applyFont="1" applyFill="1" applyBorder="1" applyAlignment="1">
      <alignment/>
    </xf>
    <xf numFmtId="0" fontId="5" fillId="22" borderId="0" xfId="0" applyFont="1" applyFill="1" applyAlignment="1">
      <alignment/>
    </xf>
    <xf numFmtId="0" fontId="5" fillId="22" borderId="11" xfId="0" applyFont="1" applyFill="1" applyBorder="1" applyAlignment="1">
      <alignment/>
    </xf>
    <xf numFmtId="168" fontId="5" fillId="22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49" fontId="5" fillId="22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168" fontId="0" fillId="0" borderId="37" xfId="0" applyNumberFormat="1" applyFill="1" applyBorder="1" applyAlignment="1">
      <alignment horizontal="center"/>
    </xf>
    <xf numFmtId="168" fontId="0" fillId="0" borderId="31" xfId="0" applyNumberForma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4" borderId="37" xfId="0" applyFill="1" applyBorder="1" applyAlignment="1">
      <alignment horizontal="center"/>
    </xf>
    <xf numFmtId="168" fontId="0" fillId="0" borderId="31" xfId="0" applyNumberFormat="1" applyBorder="1" applyAlignment="1">
      <alignment horizontal="center"/>
    </xf>
    <xf numFmtId="168" fontId="0" fillId="0" borderId="32" xfId="0" applyNumberFormat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4" borderId="4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168" fontId="0" fillId="0" borderId="53" xfId="0" applyNumberFormat="1" applyFill="1" applyBorder="1" applyAlignment="1" applyProtection="1">
      <alignment horizontal="center"/>
      <protection/>
    </xf>
    <xf numFmtId="168" fontId="0" fillId="0" borderId="58" xfId="0" applyNumberFormat="1" applyFill="1" applyBorder="1" applyAlignment="1" applyProtection="1">
      <alignment horizontal="center"/>
      <protection/>
    </xf>
    <xf numFmtId="168" fontId="0" fillId="0" borderId="59" xfId="0" applyNumberFormat="1" applyFill="1" applyBorder="1" applyAlignment="1" applyProtection="1">
      <alignment horizontal="center"/>
      <protection/>
    </xf>
    <xf numFmtId="0" fontId="5" fillId="0" borderId="10" xfId="0" applyNumberFormat="1" applyFont="1" applyBorder="1" applyAlignment="1">
      <alignment/>
    </xf>
    <xf numFmtId="0" fontId="5" fillId="22" borderId="48" xfId="0" applyFont="1" applyFill="1" applyBorder="1" applyAlignment="1" applyProtection="1">
      <alignment horizontal="center" vertical="center" wrapText="1"/>
      <protection/>
    </xf>
    <xf numFmtId="0" fontId="5" fillId="22" borderId="49" xfId="0" applyFont="1" applyFill="1" applyBorder="1" applyAlignment="1" applyProtection="1">
      <alignment horizontal="center"/>
      <protection/>
    </xf>
    <xf numFmtId="0" fontId="36" fillId="0" borderId="0" xfId="0" applyFont="1" applyAlignment="1">
      <alignment horizontal="center"/>
    </xf>
    <xf numFmtId="0" fontId="5" fillId="22" borderId="60" xfId="0" applyFont="1" applyFill="1" applyBorder="1" applyAlignment="1">
      <alignment horizontal="center" vertical="center" wrapText="1"/>
    </xf>
    <xf numFmtId="0" fontId="5" fillId="22" borderId="59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5" fillId="22" borderId="49" xfId="0" applyFont="1" applyFill="1" applyBorder="1" applyAlignment="1">
      <alignment horizontal="center" vertical="center"/>
    </xf>
    <xf numFmtId="0" fontId="5" fillId="22" borderId="61" xfId="0" applyFont="1" applyFill="1" applyBorder="1" applyAlignment="1">
      <alignment horizontal="center" vertical="center"/>
    </xf>
    <xf numFmtId="0" fontId="5" fillId="22" borderId="62" xfId="0" applyFont="1" applyFill="1" applyBorder="1" applyAlignment="1">
      <alignment horizontal="center" vertical="center"/>
    </xf>
    <xf numFmtId="0" fontId="5" fillId="22" borderId="47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5" fillId="22" borderId="4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22" borderId="63" xfId="0" applyFont="1" applyFill="1" applyBorder="1" applyAlignment="1" applyProtection="1">
      <alignment horizontal="center" vertical="center" wrapText="1"/>
      <protection/>
    </xf>
    <xf numFmtId="0" fontId="5" fillId="22" borderId="60" xfId="0" applyFont="1" applyFill="1" applyBorder="1" applyAlignment="1" applyProtection="1">
      <alignment horizontal="center" vertical="center" wrapText="1"/>
      <protection/>
    </xf>
    <xf numFmtId="0" fontId="5" fillId="22" borderId="59" xfId="0" applyFont="1" applyFill="1" applyBorder="1" applyAlignment="1" applyProtection="1">
      <alignment horizontal="center" vertical="center" wrapText="1"/>
      <protection/>
    </xf>
    <xf numFmtId="14" fontId="5" fillId="22" borderId="10" xfId="0" applyNumberFormat="1" applyFont="1" applyFill="1" applyBorder="1" applyAlignment="1">
      <alignment horizontal="center"/>
    </xf>
    <xf numFmtId="182" fontId="5" fillId="22" borderId="0" xfId="0" applyNumberFormat="1" applyFont="1" applyFill="1" applyBorder="1" applyAlignment="1">
      <alignment horizontal="center"/>
    </xf>
    <xf numFmtId="0" fontId="5" fillId="22" borderId="64" xfId="0" applyFont="1" applyFill="1" applyBorder="1" applyAlignment="1" applyProtection="1">
      <alignment horizontal="center"/>
      <protection/>
    </xf>
    <xf numFmtId="0" fontId="5" fillId="22" borderId="11" xfId="0" applyFont="1" applyFill="1" applyBorder="1" applyAlignment="1" applyProtection="1">
      <alignment horizontal="center"/>
      <protection/>
    </xf>
    <xf numFmtId="0" fontId="5" fillId="22" borderId="24" xfId="0" applyFont="1" applyFill="1" applyBorder="1" applyAlignment="1" applyProtection="1">
      <alignment horizontal="center"/>
      <protection/>
    </xf>
    <xf numFmtId="0" fontId="5" fillId="22" borderId="49" xfId="0" applyFont="1" applyFill="1" applyBorder="1" applyAlignment="1" applyProtection="1">
      <alignment horizontal="center" vertical="center" wrapText="1"/>
      <protection/>
    </xf>
    <xf numFmtId="0" fontId="5" fillId="22" borderId="38" xfId="0" applyFont="1" applyFill="1" applyBorder="1" applyAlignment="1" applyProtection="1">
      <alignment horizontal="center" vertical="center" wrapText="1"/>
      <protection/>
    </xf>
    <xf numFmtId="0" fontId="5" fillId="22" borderId="47" xfId="0" applyFont="1" applyFill="1" applyBorder="1" applyAlignment="1" applyProtection="1">
      <alignment horizontal="center" vertical="center" wrapText="1"/>
      <protection/>
    </xf>
    <xf numFmtId="0" fontId="5" fillId="22" borderId="63" xfId="0" applyFont="1" applyFill="1" applyBorder="1" applyAlignment="1">
      <alignment horizontal="center" vertical="center" wrapText="1"/>
    </xf>
    <xf numFmtId="0" fontId="5" fillId="22" borderId="62" xfId="0" applyFont="1" applyFill="1" applyBorder="1" applyAlignment="1" applyProtection="1">
      <alignment horizontal="center" vertical="center" wrapText="1"/>
      <protection/>
    </xf>
    <xf numFmtId="0" fontId="5" fillId="22" borderId="65" xfId="0" applyFont="1" applyFill="1" applyBorder="1" applyAlignment="1" applyProtection="1">
      <alignment horizontal="center" vertical="center" wrapText="1"/>
      <protection/>
    </xf>
    <xf numFmtId="0" fontId="5" fillId="22" borderId="61" xfId="0" applyFont="1" applyFill="1" applyBorder="1" applyAlignment="1" applyProtection="1">
      <alignment horizontal="center"/>
      <protection/>
    </xf>
    <xf numFmtId="0" fontId="5" fillId="22" borderId="47" xfId="0" applyFont="1" applyFill="1" applyBorder="1" applyAlignment="1" applyProtection="1">
      <alignment horizontal="center"/>
      <protection/>
    </xf>
    <xf numFmtId="0" fontId="5" fillId="22" borderId="10" xfId="0" applyFont="1" applyFill="1" applyBorder="1" applyAlignment="1" applyProtection="1">
      <alignment horizontal="center"/>
      <protection/>
    </xf>
    <xf numFmtId="0" fontId="12" fillId="22" borderId="49" xfId="0" applyFont="1" applyFill="1" applyBorder="1" applyAlignment="1" applyProtection="1">
      <alignment horizontal="center" vertical="center" wrapText="1"/>
      <protection/>
    </xf>
    <xf numFmtId="0" fontId="12" fillId="22" borderId="61" xfId="0" applyFont="1" applyFill="1" applyBorder="1" applyAlignment="1" applyProtection="1">
      <alignment horizontal="center" vertical="center" wrapText="1"/>
      <protection/>
    </xf>
    <xf numFmtId="0" fontId="12" fillId="22" borderId="62" xfId="0" applyFont="1" applyFill="1" applyBorder="1" applyAlignment="1" applyProtection="1">
      <alignment horizontal="center" vertical="center" wrapText="1"/>
      <protection/>
    </xf>
    <xf numFmtId="0" fontId="5" fillId="22" borderId="48" xfId="0" applyFont="1" applyFill="1" applyBorder="1" applyAlignment="1" applyProtection="1">
      <alignment horizontal="center"/>
      <protection/>
    </xf>
    <xf numFmtId="0" fontId="5" fillId="0" borderId="2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7" fillId="0" borderId="6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182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rgb="FFFF0000"/>
      </font>
      <border/>
    </dxf>
    <dxf>
      <fill>
        <patternFill patternType="none">
          <bgColor indexed="65"/>
        </patternFill>
      </fill>
      <border/>
    </dxf>
    <dxf>
      <fill>
        <patternFill patternType="lightGray"/>
      </fill>
      <border/>
    </dxf>
    <dxf>
      <font>
        <b/>
        <i val="0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Heat Cycle 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0825"/>
          <c:w val="0.8555"/>
          <c:h val="0.79225"/>
        </c:manualLayout>
      </c:layout>
      <c:lineChart>
        <c:grouping val="standard"/>
        <c:varyColors val="0"/>
        <c:ser>
          <c:idx val="3"/>
          <c:order val="0"/>
          <c:tx>
            <c:v>C1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[0]!Cycle_No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[0]!Sample1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C2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[0]!Sample2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C3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[0]!Sample3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C4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[0]!Sample4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Control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[0]!Control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Ambient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[0]!Ambient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2451332"/>
        <c:axId val="23626533"/>
      </c:lineChart>
      <c:catAx>
        <c:axId val="3245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6533"/>
        <c:crosses val="autoZero"/>
        <c:auto val="1"/>
        <c:lblOffset val="100"/>
        <c:tickLblSkip val="1"/>
        <c:noMultiLvlLbl val="0"/>
      </c:catAx>
      <c:valAx>
        <c:axId val="23626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°C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1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Cycle Resistance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735"/>
          <c:w val="0.894"/>
          <c:h val="0.819"/>
        </c:manualLayout>
      </c:layout>
      <c:lineChart>
        <c:grouping val="standard"/>
        <c:varyColors val="0"/>
        <c:ser>
          <c:idx val="1"/>
          <c:order val="0"/>
          <c:tx>
            <c:v>C1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[0]!Cycle_No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[0]!Res1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C2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[0]!Res2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C3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[0]!Res3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[0]!RES4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3880428"/>
        <c:axId val="13597261"/>
      </c:lineChart>
      <c:catAx>
        <c:axId val="23880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97261"/>
        <c:crosses val="autoZero"/>
        <c:auto val="1"/>
        <c:lblOffset val="100"/>
        <c:tickLblSkip val="1"/>
        <c:noMultiLvlLbl val="0"/>
      </c:catAx>
      <c:valAx>
        <c:axId val="13597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Resistance (u 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80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575"/>
          <c:y val="0.959"/>
          <c:w val="0.389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</xdr:rowOff>
    </xdr:from>
    <xdr:to>
      <xdr:col>8</xdr:col>
      <xdr:colOff>533400</xdr:colOff>
      <xdr:row>31</xdr:row>
      <xdr:rowOff>114300</xdr:rowOff>
    </xdr:to>
    <xdr:graphicFrame>
      <xdr:nvGraphicFramePr>
        <xdr:cNvPr id="1" name="Chart 5"/>
        <xdr:cNvGraphicFramePr/>
      </xdr:nvGraphicFramePr>
      <xdr:xfrm>
        <a:off x="28575" y="752475"/>
        <a:ext cx="53816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31</xdr:row>
      <xdr:rowOff>142875</xdr:rowOff>
    </xdr:from>
    <xdr:to>
      <xdr:col>8</xdr:col>
      <xdr:colOff>542925</xdr:colOff>
      <xdr:row>58</xdr:row>
      <xdr:rowOff>47625</xdr:rowOff>
    </xdr:to>
    <xdr:graphicFrame>
      <xdr:nvGraphicFramePr>
        <xdr:cNvPr id="2" name="Chart 9"/>
        <xdr:cNvGraphicFramePr/>
      </xdr:nvGraphicFramePr>
      <xdr:xfrm>
        <a:off x="28575" y="5257800"/>
        <a:ext cx="53911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RWESTB~1\LOCALS~1\Temp\notes6030C8\Test%20Results\USG\USG2-1000%20(3%20Pole)ANSI%20500%20cycle%20test%20Packet%20-%20F824%20Stability%20Test%2010-24-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8CC%20Section\C119%20ASC\Stability%20Spreadsheet\6_24_09%20Spreadsheet\_ANSI_C119.4_Stability_Spreadsheet-Examp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-AL"/>
      <sheetName val="Data Sheet -CU"/>
      <sheetName val="Cover Sheet-Summary"/>
      <sheetName val="Stability"/>
      <sheetName val="Resistance"/>
      <sheetName val="Resistance graphs"/>
      <sheetName val="Copper Loop"/>
      <sheetName val="Data Entry Sheet"/>
      <sheetName val="New stability sheet"/>
      <sheetName val="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 Sheet"/>
      <sheetName val="Stability"/>
      <sheetName val="Graphs"/>
      <sheetName val="Constants"/>
    </sheetNames>
    <sheetDataSet>
      <sheetData sheetId="0">
        <row r="18">
          <cell r="B18" t="str">
            <v>AL</v>
          </cell>
        </row>
      </sheetData>
      <sheetData sheetId="3">
        <row r="2">
          <cell r="A2" t="str">
            <v>AL</v>
          </cell>
          <cell r="B2">
            <v>0.0036</v>
          </cell>
        </row>
        <row r="3">
          <cell r="A3" t="str">
            <v>CU</v>
          </cell>
          <cell r="B3">
            <v>0.004</v>
          </cell>
        </row>
        <row r="4">
          <cell r="A4" t="str">
            <v>ACSR</v>
          </cell>
          <cell r="B4">
            <v>0.004</v>
          </cell>
        </row>
        <row r="5">
          <cell r="A5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B62"/>
  <sheetViews>
    <sheetView tabSelected="1" workbookViewId="0" topLeftCell="A1">
      <selection activeCell="C8" sqref="C8:D8"/>
    </sheetView>
  </sheetViews>
  <sheetFormatPr defaultColWidth="9.140625" defaultRowHeight="12.75"/>
  <cols>
    <col min="1" max="1" width="17.28125" style="0" customWidth="1"/>
    <col min="2" max="2" width="12.28125" style="0" customWidth="1"/>
    <col min="3" max="3" width="11.7109375" style="0" customWidth="1"/>
    <col min="4" max="4" width="10.140625" style="0" customWidth="1"/>
    <col min="5" max="5" width="10.8515625" style="0" customWidth="1"/>
    <col min="6" max="9" width="10.140625" style="0" customWidth="1"/>
  </cols>
  <sheetData>
    <row r="1" spans="1:7" ht="15.75">
      <c r="A1" s="38">
        <f>IF(AND(C3="AA",C4="CCST"),"AA class Test can not be used with CCST Test Method","")</f>
      </c>
      <c r="G1" s="20" t="s">
        <v>39</v>
      </c>
    </row>
    <row r="2" spans="1:3" ht="23.25">
      <c r="A2" s="182" t="s">
        <v>65</v>
      </c>
      <c r="B2" s="182"/>
      <c r="C2" s="149"/>
    </row>
    <row r="3" spans="1:4" ht="24" customHeight="1">
      <c r="A3" s="20" t="s">
        <v>33</v>
      </c>
      <c r="C3" s="129" t="s">
        <v>61</v>
      </c>
      <c r="D3" s="48" t="s">
        <v>49</v>
      </c>
    </row>
    <row r="4" spans="1:4" ht="15.75">
      <c r="A4" s="20" t="s">
        <v>36</v>
      </c>
      <c r="C4" s="139" t="s">
        <v>41</v>
      </c>
      <c r="D4" s="48" t="s">
        <v>49</v>
      </c>
    </row>
    <row r="5" spans="1:5" ht="15.75" customHeight="1">
      <c r="A5" s="1" t="s">
        <v>57</v>
      </c>
      <c r="C5" s="139" t="s">
        <v>64</v>
      </c>
      <c r="D5" s="139"/>
      <c r="E5" s="48" t="s">
        <v>49</v>
      </c>
    </row>
    <row r="6" spans="1:4" ht="13.5" thickBot="1">
      <c r="A6" s="1" t="s">
        <v>13</v>
      </c>
      <c r="B6" s="1"/>
      <c r="C6" s="187"/>
      <c r="D6" s="187"/>
    </row>
    <row r="7" spans="1:4" ht="12.75">
      <c r="A7" s="1" t="s">
        <v>22</v>
      </c>
      <c r="B7" s="2"/>
      <c r="C7" s="199"/>
      <c r="D7" s="199"/>
    </row>
    <row r="8" spans="1:4" ht="13.5" thickBot="1">
      <c r="A8" s="1" t="s">
        <v>17</v>
      </c>
      <c r="B8" s="1"/>
      <c r="C8" s="198"/>
      <c r="D8" s="187"/>
    </row>
    <row r="9" spans="1:3" ht="13.5" thickBot="1">
      <c r="A9" s="1" t="s">
        <v>66</v>
      </c>
      <c r="B9" s="187"/>
      <c r="C9" s="187"/>
    </row>
    <row r="10" spans="1:3" ht="12.75">
      <c r="A10" s="1"/>
      <c r="B10" s="142"/>
      <c r="C10" s="142"/>
    </row>
    <row r="11" spans="1:4" ht="13.5" thickBot="1">
      <c r="A11" s="1" t="s">
        <v>20</v>
      </c>
      <c r="B11" s="1"/>
      <c r="C11" s="1"/>
      <c r="D11" s="141" t="s">
        <v>49</v>
      </c>
    </row>
    <row r="12" spans="1:4" ht="13.5" thickBot="1">
      <c r="A12" s="1" t="s">
        <v>21</v>
      </c>
      <c r="B12" s="1"/>
      <c r="D12" s="141" t="s">
        <v>49</v>
      </c>
    </row>
    <row r="13" spans="1:5" ht="13.5" thickBot="1">
      <c r="A13" s="1" t="s">
        <v>24</v>
      </c>
      <c r="B13" s="1"/>
      <c r="D13" s="133" t="s">
        <v>49</v>
      </c>
      <c r="E13" s="1" t="s">
        <v>19</v>
      </c>
    </row>
    <row r="14" spans="1:4" ht="12.75">
      <c r="A14" s="1"/>
      <c r="B14" s="142"/>
      <c r="D14" s="142"/>
    </row>
    <row r="15" spans="1:4" ht="12.75">
      <c r="A15" s="1"/>
      <c r="B15" s="142"/>
      <c r="D15" s="142"/>
    </row>
    <row r="16" spans="1:5" ht="12.75">
      <c r="A16" s="186" t="s">
        <v>23</v>
      </c>
      <c r="B16" s="186"/>
      <c r="D16" s="185" t="s">
        <v>54</v>
      </c>
      <c r="E16" s="185"/>
    </row>
    <row r="17" spans="1:11" ht="13.5" thickBot="1">
      <c r="A17" s="1" t="s">
        <v>14</v>
      </c>
      <c r="B17" s="134" t="s">
        <v>49</v>
      </c>
      <c r="D17" s="1" t="s">
        <v>14</v>
      </c>
      <c r="E17" s="134" t="s">
        <v>49</v>
      </c>
      <c r="G17" s="2"/>
      <c r="H17" s="47" t="s">
        <v>18</v>
      </c>
      <c r="I17" s="1" t="s">
        <v>25</v>
      </c>
      <c r="J17" s="1"/>
      <c r="K17" s="137" t="s">
        <v>47</v>
      </c>
    </row>
    <row r="18" spans="1:12" ht="13.5" thickBot="1">
      <c r="A18" s="1" t="s">
        <v>15</v>
      </c>
      <c r="B18" s="135" t="s">
        <v>49</v>
      </c>
      <c r="C18" s="48" t="s">
        <v>63</v>
      </c>
      <c r="D18" s="1" t="s">
        <v>15</v>
      </c>
      <c r="E18" s="138" t="s">
        <v>49</v>
      </c>
      <c r="F18" s="2"/>
      <c r="G18" s="2"/>
      <c r="I18" s="1" t="s">
        <v>55</v>
      </c>
      <c r="K18" s="139" t="s">
        <v>52</v>
      </c>
      <c r="L18" s="3"/>
    </row>
    <row r="19" spans="1:28" ht="18" customHeight="1" thickBot="1">
      <c r="A19" s="97" t="s">
        <v>51</v>
      </c>
      <c r="B19" s="136" t="s">
        <v>49</v>
      </c>
      <c r="C19" s="1"/>
      <c r="D19" s="97" t="s">
        <v>51</v>
      </c>
      <c r="E19" s="134" t="s">
        <v>49</v>
      </c>
      <c r="F19" s="2"/>
      <c r="G19" s="2"/>
      <c r="I19" s="1" t="s">
        <v>26</v>
      </c>
      <c r="J19" s="1"/>
      <c r="K19" s="140" t="s">
        <v>48</v>
      </c>
      <c r="L19" s="3"/>
      <c r="N19" s="23"/>
      <c r="O19" s="23"/>
      <c r="P19" s="23"/>
      <c r="Q19" s="23"/>
      <c r="R19" s="23"/>
      <c r="S19" s="23"/>
      <c r="T19" s="23"/>
      <c r="U19" s="23"/>
      <c r="AB19" s="22"/>
    </row>
    <row r="20" spans="1:21" ht="16.5" thickBot="1">
      <c r="A20" s="1" t="s">
        <v>53</v>
      </c>
      <c r="B20" s="134" t="s">
        <v>49</v>
      </c>
      <c r="C20" s="1"/>
      <c r="D20" s="1" t="s">
        <v>53</v>
      </c>
      <c r="E20" s="134" t="s">
        <v>49</v>
      </c>
      <c r="F20" s="2"/>
      <c r="G20" s="2"/>
      <c r="J20" s="1"/>
      <c r="K20" s="1"/>
      <c r="L20" s="1"/>
      <c r="O20" s="20"/>
      <c r="Q20" s="46"/>
      <c r="R20" s="20"/>
      <c r="S20" s="20"/>
      <c r="T20" s="20"/>
      <c r="U20" s="20"/>
    </row>
    <row r="21" spans="1:21" ht="13.5" thickBot="1">
      <c r="A21" s="1" t="s">
        <v>16</v>
      </c>
      <c r="B21" s="137" t="s">
        <v>49</v>
      </c>
      <c r="C21" s="1"/>
      <c r="D21" s="1" t="s">
        <v>16</v>
      </c>
      <c r="E21" s="134" t="s">
        <v>49</v>
      </c>
      <c r="F21" s="101"/>
      <c r="G21" s="103"/>
      <c r="H21" s="1"/>
      <c r="I21" s="2"/>
      <c r="J21" s="1"/>
      <c r="K21" s="1"/>
      <c r="L21" s="1"/>
      <c r="U21" s="1"/>
    </row>
    <row r="22" ht="12.75">
      <c r="U22" s="1"/>
    </row>
    <row r="23" spans="1:21" ht="13.5" thickBot="1">
      <c r="A23" s="124">
        <f>IF($C$5="Compression","Crimping Tool","")</f>
      </c>
      <c r="B23" s="143"/>
      <c r="U23" s="1"/>
    </row>
    <row r="24" spans="1:21" ht="13.5" thickBot="1">
      <c r="A24" s="124">
        <f>IF($C$5="Compression","Die Number","")</f>
      </c>
      <c r="B24" s="144"/>
      <c r="U24" s="1"/>
    </row>
    <row r="25" spans="1:21" ht="13.5" thickBot="1">
      <c r="A25" s="124">
        <f>IF($C$5="Compression","Number of Crimps","")</f>
      </c>
      <c r="C25" s="124">
        <f>IF($C$5="Compression","Main","")</f>
      </c>
      <c r="D25" s="143" t="s">
        <v>49</v>
      </c>
      <c r="E25" s="47">
        <f>IF($C$5="Compression","Tap","")</f>
      </c>
      <c r="F25" s="143" t="s">
        <v>49</v>
      </c>
      <c r="H25" s="1"/>
      <c r="U25" s="1"/>
    </row>
    <row r="26" spans="4:21" ht="12.75">
      <c r="D26" s="2"/>
      <c r="E26" s="1"/>
      <c r="F26" s="1"/>
      <c r="G26" s="2"/>
      <c r="H26" s="101"/>
      <c r="J26" s="1"/>
      <c r="K26" s="2"/>
      <c r="L26" s="1"/>
      <c r="M26" s="1"/>
      <c r="N26" s="1"/>
      <c r="O26" s="1"/>
      <c r="U26" s="1"/>
    </row>
    <row r="27" spans="1:21" ht="12.75">
      <c r="A27" s="145"/>
      <c r="B27" s="145"/>
      <c r="I27" s="1"/>
      <c r="N27" s="1"/>
      <c r="R27" s="1"/>
      <c r="S27" s="1"/>
      <c r="T27" s="1"/>
      <c r="U27" s="1"/>
    </row>
    <row r="28" spans="1:21" ht="13.5" thickBot="1">
      <c r="A28" s="146" t="str">
        <f>IF($C$5="Compression","","Number of screws(bolts) per conductor")</f>
        <v>Number of screws(bolts) per conductor</v>
      </c>
      <c r="B28" s="147"/>
      <c r="C28" s="147"/>
      <c r="D28" s="147"/>
      <c r="E28" s="137" t="s">
        <v>49</v>
      </c>
      <c r="F28" s="147"/>
      <c r="G28" s="147"/>
      <c r="H28" s="147"/>
      <c r="I28" s="147"/>
      <c r="J28" s="1"/>
      <c r="K28" s="1"/>
      <c r="L28" s="1"/>
      <c r="M28" s="1"/>
      <c r="N28" s="1"/>
      <c r="R28" s="1"/>
      <c r="S28" s="1"/>
      <c r="T28" s="1"/>
      <c r="U28" s="1"/>
    </row>
    <row r="29" spans="1:21" ht="13.5" thickBot="1">
      <c r="A29" s="146" t="str">
        <f>IF($C$5="Compression","","Screw (bolt) size")</f>
        <v>Screw (bolt) size</v>
      </c>
      <c r="B29" s="145"/>
      <c r="C29" s="144"/>
      <c r="G29" s="122"/>
      <c r="H29" s="2"/>
      <c r="I29" s="194"/>
      <c r="J29" s="194"/>
      <c r="K29" s="194"/>
      <c r="L29" s="194"/>
      <c r="M29" s="194"/>
      <c r="N29" s="194"/>
      <c r="R29" s="1"/>
      <c r="S29" s="1"/>
      <c r="T29" s="1"/>
      <c r="U29" s="1"/>
    </row>
    <row r="30" spans="1:21" ht="13.5" thickBot="1">
      <c r="A30" s="148" t="str">
        <f>IF($C$5="Compression","","Torque (in-lb)")</f>
        <v>Torque (in-lb)</v>
      </c>
      <c r="B30" s="145"/>
      <c r="C30" s="133"/>
      <c r="M30" s="123"/>
      <c r="N30" s="123"/>
      <c r="R30" s="1"/>
      <c r="S30" s="1"/>
      <c r="T30" s="1"/>
      <c r="U30" s="1"/>
    </row>
    <row r="31" spans="10:21" ht="12.75">
      <c r="J31" s="123"/>
      <c r="K31" s="123"/>
      <c r="L31" s="123"/>
      <c r="M31" s="123"/>
      <c r="N31" s="123"/>
      <c r="R31" s="1"/>
      <c r="S31" s="1"/>
      <c r="T31" s="1"/>
      <c r="U31" s="1"/>
    </row>
    <row r="32" spans="3:11" ht="13.5" thickBot="1">
      <c r="C32">
        <f>IF(AND(C3="AA",C4="CCST"),"This test Method can not use AA class Test","")</f>
      </c>
      <c r="K32" s="48" t="s">
        <v>46</v>
      </c>
    </row>
    <row r="33" spans="1:15" ht="12.75" customHeight="1" thickBot="1">
      <c r="A33" s="195" t="s">
        <v>38</v>
      </c>
      <c r="B33" s="203" t="s">
        <v>58</v>
      </c>
      <c r="C33" s="206" t="s">
        <v>59</v>
      </c>
      <c r="D33" s="188" t="s">
        <v>6</v>
      </c>
      <c r="E33" s="189"/>
      <c r="F33" s="189"/>
      <c r="G33" s="190"/>
      <c r="H33" s="207" t="s">
        <v>30</v>
      </c>
      <c r="I33" s="203" t="s">
        <v>29</v>
      </c>
      <c r="J33" s="195" t="s">
        <v>28</v>
      </c>
      <c r="K33" s="200" t="s">
        <v>1</v>
      </c>
      <c r="L33" s="201"/>
      <c r="M33" s="201"/>
      <c r="N33" s="201"/>
      <c r="O33" s="202"/>
    </row>
    <row r="34" spans="1:15" ht="13.5" thickBot="1">
      <c r="A34" s="196"/>
      <c r="B34" s="204"/>
      <c r="C34" s="183"/>
      <c r="D34" s="191"/>
      <c r="E34" s="192"/>
      <c r="F34" s="192"/>
      <c r="G34" s="193"/>
      <c r="H34" s="208"/>
      <c r="I34" s="204"/>
      <c r="J34" s="196"/>
      <c r="K34" s="183" t="s">
        <v>60</v>
      </c>
      <c r="L34" s="130" t="s">
        <v>7</v>
      </c>
      <c r="M34" s="131"/>
      <c r="N34" s="131"/>
      <c r="O34" s="132"/>
    </row>
    <row r="35" spans="1:15" ht="39.75" customHeight="1" thickBot="1">
      <c r="A35" s="197"/>
      <c r="B35" s="205"/>
      <c r="C35" s="184"/>
      <c r="D35" s="5" t="s">
        <v>2</v>
      </c>
      <c r="E35" s="6" t="s">
        <v>3</v>
      </c>
      <c r="F35" s="6" t="s">
        <v>4</v>
      </c>
      <c r="G35" s="7" t="s">
        <v>5</v>
      </c>
      <c r="H35" s="180"/>
      <c r="I35" s="205"/>
      <c r="J35" s="197"/>
      <c r="K35" s="184"/>
      <c r="L35" s="5" t="s">
        <v>2</v>
      </c>
      <c r="M35" s="6" t="s">
        <v>3</v>
      </c>
      <c r="N35" s="6" t="s">
        <v>4</v>
      </c>
      <c r="O35" s="7" t="s">
        <v>5</v>
      </c>
    </row>
    <row r="36" spans="1:15" ht="12.75">
      <c r="A36" s="155">
        <v>1</v>
      </c>
      <c r="B36" s="156" t="s">
        <v>67</v>
      </c>
      <c r="C36" s="157"/>
      <c r="D36" s="158"/>
      <c r="E36" s="153"/>
      <c r="F36" s="159"/>
      <c r="G36" s="160"/>
      <c r="H36" s="170"/>
      <c r="I36" s="167"/>
      <c r="J36" s="161">
        <f aca="true" t="shared" si="0" ref="J36:J60">IF(C36="","",C36)</f>
      </c>
      <c r="K36" s="83"/>
      <c r="L36" s="162"/>
      <c r="M36" s="162"/>
      <c r="N36" s="162"/>
      <c r="O36" s="163"/>
    </row>
    <row r="37" spans="1:15" ht="12.75">
      <c r="A37" s="89">
        <v>2</v>
      </c>
      <c r="B37" s="128" t="s">
        <v>68</v>
      </c>
      <c r="C37" s="36"/>
      <c r="D37" s="125"/>
      <c r="E37" s="25"/>
      <c r="F37" s="45"/>
      <c r="G37" s="127"/>
      <c r="H37" s="171"/>
      <c r="I37" s="168"/>
      <c r="J37" s="114">
        <f t="shared" si="0"/>
      </c>
      <c r="K37" s="104"/>
      <c r="L37" s="105"/>
      <c r="M37" s="105"/>
      <c r="N37" s="105"/>
      <c r="O37" s="113"/>
    </row>
    <row r="38" spans="1:15" ht="12.75">
      <c r="A38" s="89">
        <v>3</v>
      </c>
      <c r="B38" s="128" t="s">
        <v>69</v>
      </c>
      <c r="C38" s="36"/>
      <c r="D38" s="125"/>
      <c r="E38" s="25"/>
      <c r="F38" s="45"/>
      <c r="G38" s="127"/>
      <c r="H38" s="171"/>
      <c r="I38" s="168"/>
      <c r="J38" s="114">
        <f t="shared" si="0"/>
      </c>
      <c r="K38" s="104"/>
      <c r="L38" s="105"/>
      <c r="M38" s="105"/>
      <c r="N38" s="105"/>
      <c r="O38" s="113"/>
    </row>
    <row r="39" spans="1:15" ht="12.75">
      <c r="A39" s="89">
        <v>4</v>
      </c>
      <c r="B39" s="128" t="s">
        <v>70</v>
      </c>
      <c r="C39" s="36"/>
      <c r="D39" s="125"/>
      <c r="E39" s="25"/>
      <c r="F39" s="45"/>
      <c r="G39" s="127"/>
      <c r="H39" s="171"/>
      <c r="I39" s="168"/>
      <c r="J39" s="114">
        <f t="shared" si="0"/>
      </c>
      <c r="K39" s="104"/>
      <c r="L39" s="105"/>
      <c r="M39" s="105"/>
      <c r="N39" s="105"/>
      <c r="O39" s="113"/>
    </row>
    <row r="40" spans="1:15" ht="12.75">
      <c r="A40" s="89">
        <v>5</v>
      </c>
      <c r="B40" s="128" t="s">
        <v>71</v>
      </c>
      <c r="C40" s="36"/>
      <c r="D40" s="125"/>
      <c r="E40" s="25"/>
      <c r="F40" s="45"/>
      <c r="G40" s="127"/>
      <c r="H40" s="171"/>
      <c r="I40" s="168"/>
      <c r="J40" s="114">
        <f t="shared" si="0"/>
      </c>
      <c r="K40" s="104"/>
      <c r="L40" s="105"/>
      <c r="M40" s="105"/>
      <c r="N40" s="105"/>
      <c r="O40" s="113"/>
    </row>
    <row r="41" spans="1:15" ht="12.75">
      <c r="A41" s="89">
        <f>IF($C$3="B",6,IF($C$3="A",6,IF($C$3="AA",6,"")))</f>
        <v>6</v>
      </c>
      <c r="B41" s="128" t="s">
        <v>72</v>
      </c>
      <c r="C41" s="36"/>
      <c r="D41" s="125"/>
      <c r="E41" s="25"/>
      <c r="F41" s="45"/>
      <c r="G41" s="127"/>
      <c r="H41" s="171"/>
      <c r="I41" s="168"/>
      <c r="J41" s="114">
        <f t="shared" si="0"/>
      </c>
      <c r="K41" s="104"/>
      <c r="L41" s="105"/>
      <c r="M41" s="105"/>
      <c r="N41" s="105"/>
      <c r="O41" s="113"/>
    </row>
    <row r="42" spans="1:15" ht="12.75">
      <c r="A42" s="89">
        <f>IF($C$3="B",7,IF($C$3="A",7,IF($C$3="AA",7,"")))</f>
        <v>7</v>
      </c>
      <c r="B42" s="128" t="s">
        <v>73</v>
      </c>
      <c r="C42" s="36"/>
      <c r="D42" s="125"/>
      <c r="E42" s="25"/>
      <c r="F42" s="45"/>
      <c r="G42" s="127"/>
      <c r="H42" s="171"/>
      <c r="I42" s="168"/>
      <c r="J42" s="114">
        <f t="shared" si="0"/>
      </c>
      <c r="K42" s="104"/>
      <c r="L42" s="105"/>
      <c r="M42" s="105"/>
      <c r="N42" s="105"/>
      <c r="O42" s="113"/>
    </row>
    <row r="43" spans="1:15" ht="12.75">
      <c r="A43" s="89">
        <f>IF($C$3="B",8,IF($C$3="A",8,IF($C$3="AA",8,"")))</f>
        <v>8</v>
      </c>
      <c r="B43" s="128" t="s">
        <v>74</v>
      </c>
      <c r="C43" s="36"/>
      <c r="D43" s="125"/>
      <c r="E43" s="25"/>
      <c r="F43" s="45"/>
      <c r="G43" s="127"/>
      <c r="H43" s="171"/>
      <c r="I43" s="168"/>
      <c r="J43" s="114">
        <f t="shared" si="0"/>
      </c>
      <c r="K43" s="104"/>
      <c r="L43" s="105"/>
      <c r="M43" s="105"/>
      <c r="N43" s="105"/>
      <c r="O43" s="113"/>
    </row>
    <row r="44" spans="1:15" ht="12.75">
      <c r="A44" s="89">
        <f>IF($C$3="A",9,IF($C$3="AA",9,""))</f>
        <v>9</v>
      </c>
      <c r="B44" s="128" t="s">
        <v>75</v>
      </c>
      <c r="C44" s="36"/>
      <c r="D44" s="125"/>
      <c r="E44" s="25"/>
      <c r="F44" s="45"/>
      <c r="G44" s="127"/>
      <c r="H44" s="171"/>
      <c r="I44" s="168"/>
      <c r="J44" s="114">
        <f t="shared" si="0"/>
      </c>
      <c r="K44" s="104"/>
      <c r="L44" s="105"/>
      <c r="M44" s="105"/>
      <c r="N44" s="105"/>
      <c r="O44" s="113"/>
    </row>
    <row r="45" spans="1:15" ht="12.75">
      <c r="A45" s="89">
        <f>IF($C$3="A",10,IF($C$3="AA",10,""))</f>
        <v>10</v>
      </c>
      <c r="B45" s="128" t="s">
        <v>76</v>
      </c>
      <c r="C45" s="36"/>
      <c r="D45" s="125"/>
      <c r="E45" s="25"/>
      <c r="F45" s="45"/>
      <c r="G45" s="127"/>
      <c r="H45" s="171"/>
      <c r="I45" s="168"/>
      <c r="J45" s="114">
        <f t="shared" si="0"/>
      </c>
      <c r="K45" s="104"/>
      <c r="L45" s="105"/>
      <c r="M45" s="105"/>
      <c r="N45" s="105"/>
      <c r="O45" s="113"/>
    </row>
    <row r="46" spans="1:15" ht="12.75">
      <c r="A46" s="89">
        <f>IF($C$3="A",11,IF($C$3="AA",11,""))</f>
        <v>11</v>
      </c>
      <c r="B46" s="128" t="s">
        <v>77</v>
      </c>
      <c r="C46" s="36"/>
      <c r="D46" s="125"/>
      <c r="E46" s="25"/>
      <c r="F46" s="45"/>
      <c r="G46" s="127"/>
      <c r="H46" s="171"/>
      <c r="I46" s="168"/>
      <c r="J46" s="114">
        <f t="shared" si="0"/>
      </c>
      <c r="K46" s="104"/>
      <c r="L46" s="105"/>
      <c r="M46" s="105"/>
      <c r="N46" s="105"/>
      <c r="O46" s="113"/>
    </row>
    <row r="47" spans="1:15" ht="12.75">
      <c r="A47" s="89">
        <f>IF($C$3="AA",12,IF($C$3="AA",12,""))</f>
      </c>
      <c r="B47" s="128" t="str">
        <f>IF(P25="CCST",(IF($C$3="AA","N/A","Blank")),(IF($C$3&lt;&gt;"AA","Blank","245")))</f>
        <v>Blank</v>
      </c>
      <c r="C47" s="36"/>
      <c r="D47" s="125"/>
      <c r="E47" s="25"/>
      <c r="F47" s="25"/>
      <c r="G47" s="74"/>
      <c r="H47" s="171"/>
      <c r="I47" s="168"/>
      <c r="J47" s="114">
        <f t="shared" si="0"/>
      </c>
      <c r="K47" s="104"/>
      <c r="L47" s="50"/>
      <c r="M47" s="50"/>
      <c r="N47" s="50"/>
      <c r="O47" s="52"/>
    </row>
    <row r="48" spans="1:15" ht="12.75">
      <c r="A48" s="89">
        <f>IF($C$3="AA",13,IF($C$3="AA",13,""))</f>
      </c>
      <c r="B48" s="128" t="str">
        <f>IF(P25="CCST",(IF($C$3="AA","N/A","Blank")),(IF($C$3&lt;&gt;"AA","Blank","265")))</f>
        <v>Blank</v>
      </c>
      <c r="C48" s="36"/>
      <c r="D48" s="125"/>
      <c r="E48" s="25"/>
      <c r="F48" s="25"/>
      <c r="G48" s="74"/>
      <c r="H48" s="171"/>
      <c r="I48" s="168"/>
      <c r="J48" s="114">
        <f t="shared" si="0"/>
      </c>
      <c r="K48" s="104"/>
      <c r="L48" s="50"/>
      <c r="M48" s="50"/>
      <c r="N48" s="50"/>
      <c r="O48" s="52"/>
    </row>
    <row r="49" spans="1:15" ht="12.75">
      <c r="A49" s="89">
        <f>IF($C$3="AA",14,IF($C$3="AA",14,""))</f>
      </c>
      <c r="B49" s="128" t="str">
        <f>IF(P25="CCST",(IF(B19="AA","N/A","Blank")),(IF(B19&lt;&gt;"AA","Blank","285")))</f>
        <v>Blank</v>
      </c>
      <c r="C49" s="36"/>
      <c r="D49" s="125"/>
      <c r="E49" s="25"/>
      <c r="F49" s="25"/>
      <c r="G49" s="74"/>
      <c r="H49" s="171"/>
      <c r="I49" s="168"/>
      <c r="J49" s="114">
        <f t="shared" si="0"/>
      </c>
      <c r="K49" s="104"/>
      <c r="L49" s="50"/>
      <c r="M49" s="50"/>
      <c r="N49" s="50"/>
      <c r="O49" s="52"/>
    </row>
    <row r="50" spans="1:15" ht="12.75">
      <c r="A50" s="89">
        <f>IF($C$3="AA",15,IF($C$3="AA",15,""))</f>
      </c>
      <c r="B50" s="128" t="str">
        <f>IF(P25="CCST",(IF(B19="AA","N/A","Blank")),(IF(B19&lt;&gt;"AA","Blank","305")))</f>
        <v>Blank</v>
      </c>
      <c r="C50" s="36"/>
      <c r="D50" s="125"/>
      <c r="E50" s="25"/>
      <c r="F50" s="25"/>
      <c r="G50" s="74"/>
      <c r="H50" s="171"/>
      <c r="I50" s="168"/>
      <c r="J50" s="114">
        <f t="shared" si="0"/>
      </c>
      <c r="K50" s="104"/>
      <c r="L50" s="50"/>
      <c r="M50" s="50"/>
      <c r="N50" s="50"/>
      <c r="O50" s="52"/>
    </row>
    <row r="51" spans="1:15" ht="12.75">
      <c r="A51" s="89">
        <f>IF($C$3="AA",16,IF($C$3="AA",16,""))</f>
      </c>
      <c r="B51" s="128" t="str">
        <f>IF(P25="CCST",(IF(B19="AA","N/A","Blank")),(IF(B19&lt;&gt;"AA","Blank","325")))</f>
        <v>Blank</v>
      </c>
      <c r="C51" s="36"/>
      <c r="D51" s="125"/>
      <c r="E51" s="25"/>
      <c r="F51" s="25"/>
      <c r="G51" s="74"/>
      <c r="H51" s="171"/>
      <c r="I51" s="168"/>
      <c r="J51" s="114">
        <f t="shared" si="0"/>
      </c>
      <c r="K51" s="104"/>
      <c r="L51" s="50"/>
      <c r="M51" s="50"/>
      <c r="N51" s="50"/>
      <c r="O51" s="52"/>
    </row>
    <row r="52" spans="1:15" ht="12.75">
      <c r="A52" s="89">
        <f>IF($C$3="AA",17,IF($C$3="AA",17,""))</f>
      </c>
      <c r="B52" s="128" t="str">
        <f>IF(P25="CCST",(IF(B19="AA","N/A","Blank")),(IF(B19&lt;&gt;"AA","Blank","345")))</f>
        <v>Blank</v>
      </c>
      <c r="C52" s="36"/>
      <c r="D52" s="125"/>
      <c r="E52" s="25"/>
      <c r="F52" s="25"/>
      <c r="G52" s="74"/>
      <c r="H52" s="171"/>
      <c r="I52" s="168"/>
      <c r="J52" s="114">
        <f t="shared" si="0"/>
      </c>
      <c r="K52" s="104"/>
      <c r="L52" s="50"/>
      <c r="M52" s="50"/>
      <c r="N52" s="50"/>
      <c r="O52" s="52"/>
    </row>
    <row r="53" spans="1:15" ht="12.75">
      <c r="A53" s="89">
        <f>IF($C$3="AA",18,IF($C$3="AA",18,""))</f>
      </c>
      <c r="B53" s="128" t="str">
        <f>IF(P25="CCST",(IF(B19="AA","N/A","Blank")),(IF(B19&lt;&gt;"AA","Blank","365")))</f>
        <v>Blank</v>
      </c>
      <c r="C53" s="36"/>
      <c r="D53" s="125"/>
      <c r="E53" s="25"/>
      <c r="F53" s="25"/>
      <c r="G53" s="74"/>
      <c r="H53" s="171"/>
      <c r="I53" s="168"/>
      <c r="J53" s="114">
        <f t="shared" si="0"/>
      </c>
      <c r="K53" s="104"/>
      <c r="L53" s="50"/>
      <c r="M53" s="50"/>
      <c r="N53" s="50"/>
      <c r="O53" s="52"/>
    </row>
    <row r="54" spans="1:15" ht="12.75">
      <c r="A54" s="89">
        <f>IF($C$3="AA",19,IF($C$3="AA",19,""))</f>
      </c>
      <c r="B54" s="128" t="str">
        <f>IF(P25="CCST",(IF(B19="AA","N/A","Blank")),(IF(B19&lt;&gt;"AA","Blank","385")))</f>
        <v>Blank</v>
      </c>
      <c r="C54" s="36"/>
      <c r="D54" s="125"/>
      <c r="E54" s="25"/>
      <c r="F54" s="25"/>
      <c r="G54" s="74"/>
      <c r="H54" s="171"/>
      <c r="I54" s="168"/>
      <c r="J54" s="114">
        <f t="shared" si="0"/>
      </c>
      <c r="K54" s="104"/>
      <c r="L54" s="50"/>
      <c r="M54" s="50"/>
      <c r="N54" s="50"/>
      <c r="O54" s="52"/>
    </row>
    <row r="55" spans="1:15" ht="12.75">
      <c r="A55" s="89">
        <f>IF($C$3="AA",20,IF($C$3="AA",20,""))</f>
      </c>
      <c r="B55" s="128" t="str">
        <f>IF(P25="CCST",(IF(B19="AA","N/A","Blank")),(IF(B19&lt;&gt;"AA","Blank","405")))</f>
        <v>Blank</v>
      </c>
      <c r="C55" s="36"/>
      <c r="D55" s="125"/>
      <c r="E55" s="25"/>
      <c r="F55" s="25"/>
      <c r="G55" s="74"/>
      <c r="H55" s="171"/>
      <c r="I55" s="168"/>
      <c r="J55" s="114">
        <f t="shared" si="0"/>
      </c>
      <c r="K55" s="104"/>
      <c r="L55" s="50"/>
      <c r="M55" s="50"/>
      <c r="N55" s="50"/>
      <c r="O55" s="52"/>
    </row>
    <row r="56" spans="1:15" ht="12.75">
      <c r="A56" s="89">
        <f>IF($C$3="AA",21,IF($C$3="AA",21,""))</f>
      </c>
      <c r="B56" s="128" t="str">
        <f>IF(P25="CCST",(IF(B19="AA","N/A","Blank")),(IF(B19&lt;&gt;"AA","Blank","425")))</f>
        <v>Blank</v>
      </c>
      <c r="C56" s="36"/>
      <c r="D56" s="125"/>
      <c r="E56" s="25"/>
      <c r="F56" s="25"/>
      <c r="G56" s="74"/>
      <c r="H56" s="171"/>
      <c r="I56" s="168"/>
      <c r="J56" s="114">
        <f t="shared" si="0"/>
      </c>
      <c r="K56" s="104"/>
      <c r="L56" s="50"/>
      <c r="M56" s="50"/>
      <c r="N56" s="50"/>
      <c r="O56" s="52"/>
    </row>
    <row r="57" spans="1:15" ht="12.75">
      <c r="A57" s="89">
        <f>IF($C$3="AA",22,IF($C$3="AA",22,""))</f>
      </c>
      <c r="B57" s="128" t="str">
        <f>IF(P25="CCST",(IF(B19="AA","N/A","Blank")),(IF(B19&lt;&gt;"AA","Blank","445")))</f>
        <v>Blank</v>
      </c>
      <c r="C57" s="36"/>
      <c r="D57" s="125"/>
      <c r="E57" s="25"/>
      <c r="F57" s="25"/>
      <c r="G57" s="74"/>
      <c r="H57" s="171"/>
      <c r="I57" s="168"/>
      <c r="J57" s="114">
        <f t="shared" si="0"/>
      </c>
      <c r="K57" s="104"/>
      <c r="L57" s="50"/>
      <c r="M57" s="50"/>
      <c r="N57" s="50"/>
      <c r="O57" s="52"/>
    </row>
    <row r="58" spans="1:15" ht="12.75">
      <c r="A58" s="89">
        <f>IF($C$3="AA",23,IF($C$3="AA",23,""))</f>
      </c>
      <c r="B58" s="128" t="str">
        <f>IF(P25="CCST",(IF(B19="AA","N/A","Blank")),(IF(B19&lt;&gt;"AA","Blank","465")))</f>
        <v>Blank</v>
      </c>
      <c r="C58" s="36"/>
      <c r="D58" s="125"/>
      <c r="E58" s="25"/>
      <c r="F58" s="25"/>
      <c r="G58" s="74"/>
      <c r="H58" s="171"/>
      <c r="I58" s="168"/>
      <c r="J58" s="114">
        <f t="shared" si="0"/>
      </c>
      <c r="K58" s="104"/>
      <c r="L58" s="50"/>
      <c r="M58" s="50"/>
      <c r="N58" s="50"/>
      <c r="O58" s="52"/>
    </row>
    <row r="59" spans="1:15" ht="12.75">
      <c r="A59" s="89">
        <f>IF($C$3="AA",24,IF($C$3="AA",24,""))</f>
      </c>
      <c r="B59" s="128" t="str">
        <f>IF(P25="CCST",(IF(B19="AA","N/A","Blank")),(IF(B19&lt;&gt;"AA","Blank","485")))</f>
        <v>Blank</v>
      </c>
      <c r="C59" s="36"/>
      <c r="D59" s="125"/>
      <c r="E59" s="25"/>
      <c r="F59" s="25"/>
      <c r="G59" s="74"/>
      <c r="H59" s="171"/>
      <c r="I59" s="168"/>
      <c r="J59" s="114">
        <f t="shared" si="0"/>
      </c>
      <c r="K59" s="104"/>
      <c r="L59" s="50"/>
      <c r="M59" s="50"/>
      <c r="N59" s="50"/>
      <c r="O59" s="52"/>
    </row>
    <row r="60" spans="1:15" ht="13.5" thickBot="1">
      <c r="A60" s="90">
        <f>IF($C$3="AA",25,IF($C$3="AA",25,""))</f>
      </c>
      <c r="B60" s="164" t="str">
        <f>IF(P25="CCST",(IF(B19="AA","N/A","Blank")),(IF(B19&lt;&gt;"AA","Blank","505")))</f>
        <v>Blank</v>
      </c>
      <c r="C60" s="165"/>
      <c r="D60" s="126"/>
      <c r="E60" s="64"/>
      <c r="F60" s="64"/>
      <c r="G60" s="75"/>
      <c r="H60" s="172"/>
      <c r="I60" s="169"/>
      <c r="J60" s="166">
        <f t="shared" si="0"/>
      </c>
      <c r="K60" s="106"/>
      <c r="L60" s="51"/>
      <c r="M60" s="51"/>
      <c r="N60" s="51"/>
      <c r="O60" s="107"/>
    </row>
    <row r="62" spans="2:3" ht="12.75" customHeight="1">
      <c r="B62" s="1"/>
      <c r="C62" s="1"/>
    </row>
  </sheetData>
  <sheetProtection/>
  <mergeCells count="17">
    <mergeCell ref="C7:D7"/>
    <mergeCell ref="K33:O33"/>
    <mergeCell ref="A33:A35"/>
    <mergeCell ref="B33:B35"/>
    <mergeCell ref="C33:C35"/>
    <mergeCell ref="I33:I35"/>
    <mergeCell ref="H33:H35"/>
    <mergeCell ref="A2:B2"/>
    <mergeCell ref="K34:K35"/>
    <mergeCell ref="D16:E16"/>
    <mergeCell ref="A16:B16"/>
    <mergeCell ref="B9:C9"/>
    <mergeCell ref="D33:G34"/>
    <mergeCell ref="I29:N29"/>
    <mergeCell ref="C6:D6"/>
    <mergeCell ref="J33:J35"/>
    <mergeCell ref="C8:D8"/>
  </mergeCells>
  <conditionalFormatting sqref="D36:G60">
    <cfRule type="cellIs" priority="1" dxfId="0" operator="greaterThan" stopIfTrue="1">
      <formula>$H36</formula>
    </cfRule>
  </conditionalFormatting>
  <conditionalFormatting sqref="B23">
    <cfRule type="expression" priority="2" dxfId="1" stopIfTrue="1">
      <formula>$C$5=Mechanical</formula>
    </cfRule>
  </conditionalFormatting>
  <conditionalFormatting sqref="A36:A60">
    <cfRule type="cellIs" priority="3" dxfId="2" operator="equal" stopIfTrue="1">
      <formula>""</formula>
    </cfRule>
  </conditionalFormatting>
  <conditionalFormatting sqref="C32">
    <cfRule type="cellIs" priority="4" dxfId="0" operator="equal" stopIfTrue="1">
      <formula>"This test Method can not use AA class Test"</formula>
    </cfRule>
  </conditionalFormatting>
  <conditionalFormatting sqref="A1">
    <cfRule type="cellIs" priority="5" dxfId="0" operator="equal" stopIfTrue="1">
      <formula>"AA class Test can not be used with CCST Test Method"</formula>
    </cfRule>
  </conditionalFormatting>
  <dataValidations count="5">
    <dataValidation type="list" allowBlank="1" showInputMessage="1" showErrorMessage="1" sqref="G29">
      <formula1>"!""type"""</formula1>
    </dataValidation>
    <dataValidation type="list" allowBlank="1" showInputMessage="1" showErrorMessage="1" promptTitle="Wire Type" prompt="Select Wire Type" sqref="E18 B18">
      <formula1>Wire_Type</formula1>
    </dataValidation>
    <dataValidation type="list" allowBlank="1" showInputMessage="1" showErrorMessage="1" sqref="C3">
      <formula1>Test_Classes</formula1>
    </dataValidation>
    <dataValidation type="list" allowBlank="1" showInputMessage="1" showErrorMessage="1" promptTitle="Select Standard" sqref="C2">
      <formula1>"1, 4, 5, 6, 7"</formula1>
    </dataValidation>
    <dataValidation type="list" allowBlank="1" showInputMessage="1" showErrorMessage="1" sqref="Q20">
      <formula1>Test_Methods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workbookViewId="0" topLeftCell="A1">
      <selection activeCell="B56" sqref="B56"/>
    </sheetView>
  </sheetViews>
  <sheetFormatPr defaultColWidth="9.140625" defaultRowHeight="12.75"/>
  <cols>
    <col min="1" max="1" width="14.8515625" style="0" customWidth="1"/>
    <col min="2" max="2" width="11.57421875" style="0" customWidth="1"/>
    <col min="4" max="4" width="12.00390625" style="0" customWidth="1"/>
    <col min="5" max="5" width="9.8515625" style="0" customWidth="1"/>
    <col min="6" max="8" width="8.57421875" style="0" customWidth="1"/>
    <col min="9" max="9" width="8.8515625" style="0" customWidth="1"/>
    <col min="10" max="16" width="8.57421875" style="0" customWidth="1"/>
  </cols>
  <sheetData>
    <row r="1" spans="1:16" ht="18">
      <c r="A1" s="29"/>
      <c r="B1" s="30"/>
      <c r="C1" s="30"/>
      <c r="D1" s="30"/>
      <c r="E1" s="31"/>
      <c r="F1" s="23"/>
      <c r="G1" s="23"/>
      <c r="H1" s="24" t="s">
        <v>65</v>
      </c>
      <c r="I1" s="27"/>
      <c r="J1" s="23"/>
      <c r="K1" s="23"/>
      <c r="L1" s="23"/>
      <c r="M1" s="23"/>
      <c r="N1" s="23"/>
      <c r="O1" s="23"/>
      <c r="P1" s="23"/>
    </row>
    <row r="2" spans="1:16" ht="15.75">
      <c r="A2" s="20" t="s">
        <v>33</v>
      </c>
      <c r="B2" s="20"/>
      <c r="C2" s="40" t="str">
        <f>'Data Entry Sheet'!C3</f>
        <v>A</v>
      </c>
      <c r="D2" s="20"/>
      <c r="G2" s="20" t="s">
        <v>39</v>
      </c>
      <c r="J2" s="20"/>
      <c r="K2" s="20"/>
      <c r="L2" s="20"/>
      <c r="M2" s="20" t="s">
        <v>36</v>
      </c>
      <c r="N2" s="20"/>
      <c r="O2" s="223" t="str">
        <f>'Data Entry Sheet'!C4</f>
        <v>CCT</v>
      </c>
      <c r="P2" s="223"/>
    </row>
    <row r="3" spans="1:15" ht="13.5" thickBot="1">
      <c r="A3" s="1" t="s">
        <v>13</v>
      </c>
      <c r="B3" s="1"/>
      <c r="C3" s="221">
        <f>'Data Entry Sheet'!C6:D6</f>
        <v>0</v>
      </c>
      <c r="D3" s="221"/>
      <c r="E3" s="1" t="s">
        <v>22</v>
      </c>
      <c r="F3" s="2"/>
      <c r="G3" s="229">
        <f>IF('Data Entry Sheet'!C7="","",'Data Entry Sheet'!C7)</f>
      </c>
      <c r="H3" s="229"/>
      <c r="I3" s="1" t="s">
        <v>17</v>
      </c>
      <c r="J3" s="1"/>
      <c r="K3" s="229">
        <f>IF('Data Entry Sheet'!C8="","",'Data Entry Sheet'!C8)</f>
      </c>
      <c r="L3" s="229"/>
      <c r="M3" s="1" t="s">
        <v>0</v>
      </c>
      <c r="N3" s="221">
        <f>IF('Data Entry Sheet'!B9="","",'Data Entry Sheet'!B9:C9)</f>
      </c>
      <c r="O3" s="221"/>
    </row>
    <row r="4" spans="1:12" ht="13.5" thickBot="1">
      <c r="A4" s="1" t="s">
        <v>23</v>
      </c>
      <c r="B4" s="1" t="s">
        <v>14</v>
      </c>
      <c r="C4" s="95" t="str">
        <f>'Data Entry Sheet'!B17</f>
        <v> </v>
      </c>
      <c r="D4" s="1" t="s">
        <v>54</v>
      </c>
      <c r="E4" s="1" t="s">
        <v>14</v>
      </c>
      <c r="F4" s="100" t="str">
        <f>'Data Entry Sheet'!E17</f>
        <v> </v>
      </c>
      <c r="H4" s="2"/>
      <c r="I4" s="47" t="s">
        <v>18</v>
      </c>
      <c r="J4" s="1" t="s">
        <v>25</v>
      </c>
      <c r="K4" s="1"/>
      <c r="L4" s="3" t="str">
        <f>'Data Entry Sheet'!K17</f>
        <v>No</v>
      </c>
    </row>
    <row r="5" spans="1:15" ht="13.5" thickBot="1">
      <c r="A5" s="1"/>
      <c r="B5" s="1" t="s">
        <v>15</v>
      </c>
      <c r="C5" s="28" t="str">
        <f>'Data Entry Sheet'!B18</f>
        <v> </v>
      </c>
      <c r="D5" s="1"/>
      <c r="E5" s="1" t="s">
        <v>15</v>
      </c>
      <c r="F5" s="102" t="str">
        <f>'Data Entry Sheet'!E18</f>
        <v> </v>
      </c>
      <c r="G5" s="2"/>
      <c r="H5" s="2"/>
      <c r="J5" s="1" t="s">
        <v>55</v>
      </c>
      <c r="L5" t="str">
        <f>'Data Entry Sheet'!K18</f>
        <v>n/a</v>
      </c>
      <c r="M5" s="3"/>
      <c r="O5" s="2"/>
    </row>
    <row r="6" spans="1:15" ht="13.5" thickBot="1">
      <c r="A6" s="1"/>
      <c r="B6" s="97" t="s">
        <v>51</v>
      </c>
      <c r="C6" s="98" t="str">
        <f>'Data Entry Sheet'!B19</f>
        <v> </v>
      </c>
      <c r="D6" s="1"/>
      <c r="E6" s="97" t="s">
        <v>51</v>
      </c>
      <c r="F6" s="99" t="str">
        <f>'Data Entry Sheet'!E19</f>
        <v> </v>
      </c>
      <c r="G6" s="2"/>
      <c r="H6" s="2"/>
      <c r="J6" s="1" t="s">
        <v>26</v>
      </c>
      <c r="K6" s="1"/>
      <c r="L6" s="4" t="str">
        <f>'Data Entry Sheet'!K19</f>
        <v>Yes</v>
      </c>
      <c r="M6" s="3"/>
      <c r="O6" s="2"/>
    </row>
    <row r="7" spans="1:15" ht="13.5" thickBot="1">
      <c r="A7" s="1"/>
      <c r="B7" s="1" t="s">
        <v>53</v>
      </c>
      <c r="C7" s="100" t="str">
        <f>'Data Entry Sheet'!B20</f>
        <v> </v>
      </c>
      <c r="D7" s="1"/>
      <c r="E7" s="1" t="s">
        <v>53</v>
      </c>
      <c r="F7" s="100" t="str">
        <f>'Data Entry Sheet'!E20</f>
        <v> </v>
      </c>
      <c r="G7" s="2"/>
      <c r="H7" s="2"/>
      <c r="K7" s="1"/>
      <c r="L7" s="1"/>
      <c r="M7" s="1"/>
      <c r="N7" s="1"/>
      <c r="O7" s="103"/>
    </row>
    <row r="8" spans="1:14" ht="13.5" thickBot="1">
      <c r="A8" s="1"/>
      <c r="B8" s="1" t="s">
        <v>16</v>
      </c>
      <c r="C8" s="3" t="str">
        <f>'Data Entry Sheet'!B21</f>
        <v> </v>
      </c>
      <c r="D8" s="1"/>
      <c r="E8" s="1" t="s">
        <v>16</v>
      </c>
      <c r="F8" s="3" t="str">
        <f>'Data Entry Sheet'!E21</f>
        <v> </v>
      </c>
      <c r="G8" s="101"/>
      <c r="H8" s="103"/>
      <c r="I8" s="1"/>
      <c r="J8" s="2"/>
      <c r="K8" s="1"/>
      <c r="L8" s="1"/>
      <c r="M8" s="1"/>
      <c r="N8" s="1"/>
    </row>
    <row r="9" spans="1:14" ht="12.75">
      <c r="A9" s="1"/>
      <c r="B9" s="1"/>
      <c r="C9" s="2"/>
      <c r="D9" s="1"/>
      <c r="E9" s="1"/>
      <c r="F9" s="2"/>
      <c r="G9" s="101"/>
      <c r="I9" s="1"/>
      <c r="J9" s="2"/>
      <c r="K9" s="1"/>
      <c r="L9" s="1"/>
      <c r="M9" s="1"/>
      <c r="N9" s="1"/>
    </row>
    <row r="10" spans="1:13" ht="13.5" thickBot="1">
      <c r="A10" s="1" t="s">
        <v>20</v>
      </c>
      <c r="B10" s="1"/>
      <c r="C10" s="1"/>
      <c r="D10" s="115" t="str">
        <f>'Data Entry Sheet'!D11</f>
        <v> </v>
      </c>
      <c r="E10" s="1" t="s">
        <v>21</v>
      </c>
      <c r="F10" s="1"/>
      <c r="G10" s="115" t="str">
        <f>'Data Entry Sheet'!D12</f>
        <v> </v>
      </c>
      <c r="H10" s="1"/>
      <c r="I10" s="1" t="s">
        <v>24</v>
      </c>
      <c r="J10" s="1"/>
      <c r="K10" s="96" t="str">
        <f>'Data Entry Sheet'!D13</f>
        <v> </v>
      </c>
      <c r="L10" s="1" t="s">
        <v>19</v>
      </c>
      <c r="M10" s="1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3.5" thickBot="1">
      <c r="A12" s="1" t="s">
        <v>57</v>
      </c>
      <c r="B12" s="221" t="str">
        <f>'Data Entry Sheet'!C5</f>
        <v>Insulation Piercing</v>
      </c>
      <c r="C12" s="221"/>
      <c r="G12" s="1"/>
      <c r="H12" s="194"/>
      <c r="I12" s="194"/>
      <c r="J12" s="194"/>
      <c r="K12" s="194"/>
      <c r="L12" s="194"/>
      <c r="M12" s="194"/>
    </row>
    <row r="13" spans="1:13" ht="13.5" thickBot="1">
      <c r="A13" s="1" t="str">
        <f>IF($B$12="compression",'Data Entry Sheet'!A23,'Data Entry Sheet'!A28)</f>
        <v>Number of screws(bolts) per conductor</v>
      </c>
      <c r="B13" s="117"/>
      <c r="C13" s="117"/>
      <c r="D13" s="179" t="str">
        <f>'Data Entry Sheet'!E28</f>
        <v> </v>
      </c>
      <c r="E13" s="1"/>
      <c r="F13" s="1" t="str">
        <f>IF($B$12="compression",'Data Entry Sheet'!A24,'Data Entry Sheet'!A29)</f>
        <v>Screw (bolt) size</v>
      </c>
      <c r="G13" s="1"/>
      <c r="H13" s="99">
        <f>'Data Entry Sheet'!C29</f>
        <v>0</v>
      </c>
      <c r="I13" s="1" t="str">
        <f>IF($B$12="compression","",'Data Entry Sheet'!A30)</f>
        <v>Torque (in-lb)</v>
      </c>
      <c r="J13" s="122"/>
      <c r="K13" s="117">
        <f>'Data Entry Sheet'!C30</f>
        <v>0</v>
      </c>
      <c r="L13" s="123"/>
      <c r="M13" s="123"/>
    </row>
    <row r="14" spans="7:14" ht="12.75">
      <c r="G14" s="1"/>
      <c r="H14" s="2"/>
      <c r="I14" s="2"/>
      <c r="J14" s="2"/>
      <c r="K14" s="2"/>
      <c r="L14" s="103"/>
      <c r="M14" s="2"/>
      <c r="N14" s="1"/>
    </row>
    <row r="15" spans="1:16" ht="13.5" thickBot="1">
      <c r="A15" s="1"/>
      <c r="B15" s="1"/>
      <c r="C15" s="47"/>
      <c r="D15" s="3"/>
      <c r="E15" s="47"/>
      <c r="F15" s="3"/>
      <c r="G15" s="1"/>
      <c r="H15" s="1"/>
      <c r="I15" s="1"/>
      <c r="J15" s="1"/>
      <c r="K15" s="1"/>
      <c r="M15" s="3"/>
      <c r="N15" s="1"/>
      <c r="P15" s="2"/>
    </row>
    <row r="16" spans="1:16" ht="25.5" customHeight="1">
      <c r="A16" s="195" t="s">
        <v>56</v>
      </c>
      <c r="B16" s="195" t="s">
        <v>28</v>
      </c>
      <c r="C16" s="195" t="s">
        <v>29</v>
      </c>
      <c r="D16" s="195" t="s">
        <v>30</v>
      </c>
      <c r="E16" s="188" t="s">
        <v>6</v>
      </c>
      <c r="F16" s="189"/>
      <c r="G16" s="189"/>
      <c r="H16" s="190"/>
      <c r="I16" s="189" t="s">
        <v>8</v>
      </c>
      <c r="J16" s="189"/>
      <c r="K16" s="189"/>
      <c r="L16" s="189"/>
      <c r="M16" s="188" t="s">
        <v>32</v>
      </c>
      <c r="N16" s="189"/>
      <c r="O16" s="189"/>
      <c r="P16" s="190"/>
    </row>
    <row r="17" spans="1:16" ht="13.5" thickBot="1">
      <c r="A17" s="196"/>
      <c r="B17" s="196"/>
      <c r="C17" s="196"/>
      <c r="D17" s="196"/>
      <c r="E17" s="191"/>
      <c r="F17" s="192"/>
      <c r="G17" s="192"/>
      <c r="H17" s="193"/>
      <c r="I17" s="192"/>
      <c r="J17" s="192"/>
      <c r="K17" s="192"/>
      <c r="L17" s="192"/>
      <c r="M17" s="191"/>
      <c r="N17" s="192"/>
      <c r="O17" s="192"/>
      <c r="P17" s="193"/>
    </row>
    <row r="18" spans="1:16" ht="13.5" thickBot="1">
      <c r="A18" s="197"/>
      <c r="B18" s="197"/>
      <c r="C18" s="197"/>
      <c r="D18" s="197"/>
      <c r="E18" s="5" t="s">
        <v>2</v>
      </c>
      <c r="F18" s="6" t="s">
        <v>3</v>
      </c>
      <c r="G18" s="6" t="s">
        <v>4</v>
      </c>
      <c r="H18" s="7" t="s">
        <v>5</v>
      </c>
      <c r="I18" s="59" t="s">
        <v>2</v>
      </c>
      <c r="J18" s="6" t="s">
        <v>3</v>
      </c>
      <c r="K18" s="6" t="s">
        <v>4</v>
      </c>
      <c r="L18" s="71" t="s">
        <v>5</v>
      </c>
      <c r="M18" s="5" t="s">
        <v>2</v>
      </c>
      <c r="N18" s="6" t="s">
        <v>3</v>
      </c>
      <c r="O18" s="6" t="s">
        <v>4</v>
      </c>
      <c r="P18" s="7" t="s">
        <v>5</v>
      </c>
    </row>
    <row r="19" spans="1:16" ht="12.75">
      <c r="A19" s="152">
        <v>1</v>
      </c>
      <c r="B19" s="153">
        <f>IF('Data Entry Sheet'!B36="BlanK","",'Data Entry Sheet'!$C36)</f>
        <v>0</v>
      </c>
      <c r="C19" s="153">
        <f>IF($B19="","",'Data Entry Sheet'!I36)</f>
        <v>0</v>
      </c>
      <c r="D19" s="154">
        <f>IF($B19="","",'Data Entry Sheet'!H36)</f>
        <v>0</v>
      </c>
      <c r="E19" s="60">
        <f>IF($B19="","",'Data Entry Sheet'!D36)</f>
        <v>0</v>
      </c>
      <c r="F19" s="41">
        <f>IF($B19="","",'Data Entry Sheet'!E36)</f>
        <v>0</v>
      </c>
      <c r="G19" s="41">
        <f>IF($B19="","",'Data Entry Sheet'!F36)</f>
        <v>0</v>
      </c>
      <c r="H19" s="61">
        <f>IF($B19="","",'Data Entry Sheet'!G36)</f>
        <v>0</v>
      </c>
      <c r="I19" s="111">
        <f aca="true" t="shared" si="0" ref="I19:I43">IF($B19="","",$D19-E19)</f>
        <v>0</v>
      </c>
      <c r="J19" s="111">
        <f aca="true" t="shared" si="1" ref="J19:J43">IF($B19="","",$D19-F19)</f>
        <v>0</v>
      </c>
      <c r="K19" s="111">
        <f aca="true" t="shared" si="2" ref="K19:K43">IF($B19="","",$D19-G19)</f>
        <v>0</v>
      </c>
      <c r="L19" s="112">
        <f aca="true" t="shared" si="3" ref="L19:L43">IF($B19="","",$D19-H19)</f>
        <v>0</v>
      </c>
      <c r="M19" s="78">
        <f aca="true" t="shared" si="4" ref="M19:M43">IF($B19="","",ABS(I19-$I$44))</f>
        <v>0</v>
      </c>
      <c r="N19" s="42">
        <f aca="true" t="shared" si="5" ref="N19:N43">IF($B19="","",ABS(J19-$J$44))</f>
        <v>0</v>
      </c>
      <c r="O19" s="42">
        <f aca="true" t="shared" si="6" ref="O19:O43">IF($B19="","",ABS(K19-$K$44))</f>
        <v>0</v>
      </c>
      <c r="P19" s="79">
        <f aca="true" t="shared" si="7" ref="P19:P43">IF($B19="","",ABS(L19-$L$44))</f>
        <v>0</v>
      </c>
    </row>
    <row r="20" spans="1:16" ht="12.75">
      <c r="A20" s="62">
        <v>2</v>
      </c>
      <c r="B20" s="41">
        <f>IF('Data Entry Sheet'!B37="BlanK","",'Data Entry Sheet'!$C37)</f>
        <v>0</v>
      </c>
      <c r="C20" s="25">
        <f>IF($B20="","",'Data Entry Sheet'!I37)</f>
        <v>0</v>
      </c>
      <c r="D20" s="74">
        <f>IF($B20="","",'Data Entry Sheet'!H37)</f>
        <v>0</v>
      </c>
      <c r="E20" s="60">
        <f>IF($B20="","",'Data Entry Sheet'!D37)</f>
        <v>0</v>
      </c>
      <c r="F20" s="41">
        <f>IF($B20="","",'Data Entry Sheet'!E37)</f>
        <v>0</v>
      </c>
      <c r="G20" s="41">
        <f>IF($B20="","",'Data Entry Sheet'!F37)</f>
        <v>0</v>
      </c>
      <c r="H20" s="61">
        <f>IF($B20="","",'Data Entry Sheet'!G37)</f>
        <v>0</v>
      </c>
      <c r="I20" s="8">
        <f t="shared" si="0"/>
        <v>0</v>
      </c>
      <c r="J20" s="8">
        <f t="shared" si="1"/>
        <v>0</v>
      </c>
      <c r="K20" s="8">
        <f t="shared" si="2"/>
        <v>0</v>
      </c>
      <c r="L20" s="26">
        <f t="shared" si="3"/>
        <v>0</v>
      </c>
      <c r="M20" s="78">
        <f t="shared" si="4"/>
        <v>0</v>
      </c>
      <c r="N20" s="42">
        <f t="shared" si="5"/>
        <v>0</v>
      </c>
      <c r="O20" s="42">
        <f t="shared" si="6"/>
        <v>0</v>
      </c>
      <c r="P20" s="79">
        <f t="shared" si="7"/>
        <v>0</v>
      </c>
    </row>
    <row r="21" spans="1:16" ht="12.75">
      <c r="A21" s="62">
        <v>3</v>
      </c>
      <c r="B21" s="41">
        <f>IF('Data Entry Sheet'!B38="BlanK","",'Data Entry Sheet'!$C38)</f>
        <v>0</v>
      </c>
      <c r="C21" s="25">
        <f>IF($B21="","",'Data Entry Sheet'!I38)</f>
        <v>0</v>
      </c>
      <c r="D21" s="74">
        <f>IF($B21="","",'Data Entry Sheet'!H38)</f>
        <v>0</v>
      </c>
      <c r="E21" s="60">
        <f>IF($B21="","",'Data Entry Sheet'!D38)</f>
        <v>0</v>
      </c>
      <c r="F21" s="41">
        <f>IF($B21="","",'Data Entry Sheet'!E38)</f>
        <v>0</v>
      </c>
      <c r="G21" s="41">
        <f>IF($B21="","",'Data Entry Sheet'!F38)</f>
        <v>0</v>
      </c>
      <c r="H21" s="61">
        <f>IF($B21="","",'Data Entry Sheet'!G38)</f>
        <v>0</v>
      </c>
      <c r="I21" s="8">
        <f t="shared" si="0"/>
        <v>0</v>
      </c>
      <c r="J21" s="8">
        <f t="shared" si="1"/>
        <v>0</v>
      </c>
      <c r="K21" s="8">
        <f t="shared" si="2"/>
        <v>0</v>
      </c>
      <c r="L21" s="26">
        <f t="shared" si="3"/>
        <v>0</v>
      </c>
      <c r="M21" s="78">
        <f t="shared" si="4"/>
        <v>0</v>
      </c>
      <c r="N21" s="42">
        <f t="shared" si="5"/>
        <v>0</v>
      </c>
      <c r="O21" s="42">
        <f t="shared" si="6"/>
        <v>0</v>
      </c>
      <c r="P21" s="79">
        <f t="shared" si="7"/>
        <v>0</v>
      </c>
    </row>
    <row r="22" spans="1:16" ht="12.75">
      <c r="A22" s="62">
        <v>4</v>
      </c>
      <c r="B22" s="41">
        <f>IF('Data Entry Sheet'!B39="BlanK","",'Data Entry Sheet'!$C39)</f>
        <v>0</v>
      </c>
      <c r="C22" s="25">
        <f>IF($B22="","",'Data Entry Sheet'!I39)</f>
        <v>0</v>
      </c>
      <c r="D22" s="74">
        <f>IF($B22="","",'Data Entry Sheet'!H39)</f>
        <v>0</v>
      </c>
      <c r="E22" s="60">
        <f>IF($B22="","",'Data Entry Sheet'!D39)</f>
        <v>0</v>
      </c>
      <c r="F22" s="41">
        <f>IF($B22="","",'Data Entry Sheet'!E39)</f>
        <v>0</v>
      </c>
      <c r="G22" s="41">
        <f>IF($B22="","",'Data Entry Sheet'!F39)</f>
        <v>0</v>
      </c>
      <c r="H22" s="61">
        <f>IF($B22="","",'Data Entry Sheet'!G39)</f>
        <v>0</v>
      </c>
      <c r="I22" s="8">
        <f t="shared" si="0"/>
        <v>0</v>
      </c>
      <c r="J22" s="8">
        <f t="shared" si="1"/>
        <v>0</v>
      </c>
      <c r="K22" s="8">
        <f t="shared" si="2"/>
        <v>0</v>
      </c>
      <c r="L22" s="26">
        <f t="shared" si="3"/>
        <v>0</v>
      </c>
      <c r="M22" s="78">
        <f t="shared" si="4"/>
        <v>0</v>
      </c>
      <c r="N22" s="42">
        <f t="shared" si="5"/>
        <v>0</v>
      </c>
      <c r="O22" s="42">
        <f t="shared" si="6"/>
        <v>0</v>
      </c>
      <c r="P22" s="79">
        <f t="shared" si="7"/>
        <v>0</v>
      </c>
    </row>
    <row r="23" spans="1:16" ht="12.75">
      <c r="A23" s="62">
        <v>5</v>
      </c>
      <c r="B23" s="41">
        <f>IF('Data Entry Sheet'!B40="BlanK","",'Data Entry Sheet'!$C40)</f>
        <v>0</v>
      </c>
      <c r="C23" s="25">
        <f>IF($B23="","",'Data Entry Sheet'!I40)</f>
        <v>0</v>
      </c>
      <c r="D23" s="74">
        <f>IF($B23="","",'Data Entry Sheet'!H40)</f>
        <v>0</v>
      </c>
      <c r="E23" s="60">
        <f>IF($B23="","",'Data Entry Sheet'!D40)</f>
        <v>0</v>
      </c>
      <c r="F23" s="41">
        <f>IF($B23="","",'Data Entry Sheet'!E40)</f>
        <v>0</v>
      </c>
      <c r="G23" s="41">
        <f>IF($B23="","",'Data Entry Sheet'!F40)</f>
        <v>0</v>
      </c>
      <c r="H23" s="61">
        <f>IF($B23="","",'Data Entry Sheet'!G40)</f>
        <v>0</v>
      </c>
      <c r="I23" s="8">
        <f t="shared" si="0"/>
        <v>0</v>
      </c>
      <c r="J23" s="8">
        <f t="shared" si="1"/>
        <v>0</v>
      </c>
      <c r="K23" s="8">
        <f t="shared" si="2"/>
        <v>0</v>
      </c>
      <c r="L23" s="26">
        <f t="shared" si="3"/>
        <v>0</v>
      </c>
      <c r="M23" s="78">
        <f t="shared" si="4"/>
        <v>0</v>
      </c>
      <c r="N23" s="42">
        <f t="shared" si="5"/>
        <v>0</v>
      </c>
      <c r="O23" s="42">
        <f t="shared" si="6"/>
        <v>0</v>
      </c>
      <c r="P23" s="79">
        <f t="shared" si="7"/>
        <v>0</v>
      </c>
    </row>
    <row r="24" spans="1:16" ht="12.75">
      <c r="A24" s="62">
        <f>IF($C$2="B",6,IF($C$2="A",6,IF($C$2="AA",6,"")))</f>
        <v>6</v>
      </c>
      <c r="B24" s="41">
        <f>IF('Data Entry Sheet'!B41="BlanK","",'Data Entry Sheet'!$C41)</f>
        <v>0</v>
      </c>
      <c r="C24" s="25">
        <f>IF($B24="","",'Data Entry Sheet'!I41)</f>
        <v>0</v>
      </c>
      <c r="D24" s="74">
        <f>IF($B24="","",'Data Entry Sheet'!H41)</f>
        <v>0</v>
      </c>
      <c r="E24" s="60">
        <f>IF($B24="","",'Data Entry Sheet'!D41)</f>
        <v>0</v>
      </c>
      <c r="F24" s="41">
        <f>IF($B24="","",'Data Entry Sheet'!E41)</f>
        <v>0</v>
      </c>
      <c r="G24" s="41">
        <f>IF($B24="","",'Data Entry Sheet'!F41)</f>
        <v>0</v>
      </c>
      <c r="H24" s="61">
        <f>IF($B24="","",'Data Entry Sheet'!G41)</f>
        <v>0</v>
      </c>
      <c r="I24" s="8">
        <f t="shared" si="0"/>
        <v>0</v>
      </c>
      <c r="J24" s="8">
        <f t="shared" si="1"/>
        <v>0</v>
      </c>
      <c r="K24" s="8">
        <f t="shared" si="2"/>
        <v>0</v>
      </c>
      <c r="L24" s="26">
        <f t="shared" si="3"/>
        <v>0</v>
      </c>
      <c r="M24" s="78">
        <f t="shared" si="4"/>
        <v>0</v>
      </c>
      <c r="N24" s="42">
        <f t="shared" si="5"/>
        <v>0</v>
      </c>
      <c r="O24" s="42">
        <f t="shared" si="6"/>
        <v>0</v>
      </c>
      <c r="P24" s="79">
        <f t="shared" si="7"/>
        <v>0</v>
      </c>
    </row>
    <row r="25" spans="1:16" ht="12.75">
      <c r="A25" s="62">
        <f>IF($C$2="B",7,IF($C$2="A",7,IF($C$2="AA",7,"")))</f>
        <v>7</v>
      </c>
      <c r="B25" s="41">
        <f>IF('Data Entry Sheet'!B42="BlanK","",'Data Entry Sheet'!$C42)</f>
        <v>0</v>
      </c>
      <c r="C25" s="25">
        <f>IF($B25="","",'Data Entry Sheet'!I42)</f>
        <v>0</v>
      </c>
      <c r="D25" s="74">
        <f>IF($B25="","",'Data Entry Sheet'!H42)</f>
        <v>0</v>
      </c>
      <c r="E25" s="60">
        <f>IF($B25="","",'Data Entry Sheet'!D42)</f>
        <v>0</v>
      </c>
      <c r="F25" s="41">
        <f>IF($B25="","",'Data Entry Sheet'!E42)</f>
        <v>0</v>
      </c>
      <c r="G25" s="41">
        <f>IF($B25="","",'Data Entry Sheet'!F42)</f>
        <v>0</v>
      </c>
      <c r="H25" s="61">
        <f>IF($B25="","",'Data Entry Sheet'!G42)</f>
        <v>0</v>
      </c>
      <c r="I25" s="8">
        <f t="shared" si="0"/>
        <v>0</v>
      </c>
      <c r="J25" s="8">
        <f t="shared" si="1"/>
        <v>0</v>
      </c>
      <c r="K25" s="8">
        <f t="shared" si="2"/>
        <v>0</v>
      </c>
      <c r="L25" s="26">
        <f t="shared" si="3"/>
        <v>0</v>
      </c>
      <c r="M25" s="78">
        <f t="shared" si="4"/>
        <v>0</v>
      </c>
      <c r="N25" s="42">
        <f t="shared" si="5"/>
        <v>0</v>
      </c>
      <c r="O25" s="42">
        <f t="shared" si="6"/>
        <v>0</v>
      </c>
      <c r="P25" s="79">
        <f t="shared" si="7"/>
        <v>0</v>
      </c>
    </row>
    <row r="26" spans="1:16" ht="12.75">
      <c r="A26" s="62">
        <f>IF($C$2="B",8,IF($C$2="A",8,IF($C$2="AA",8,"")))</f>
        <v>8</v>
      </c>
      <c r="B26" s="41">
        <f>IF('Data Entry Sheet'!B43="BlanK","",'Data Entry Sheet'!$C43)</f>
        <v>0</v>
      </c>
      <c r="C26" s="25">
        <f>IF($B26="","",'Data Entry Sheet'!I43)</f>
        <v>0</v>
      </c>
      <c r="D26" s="74">
        <f>IF($B26="","",'Data Entry Sheet'!H43)</f>
        <v>0</v>
      </c>
      <c r="E26" s="60">
        <f>IF($B26="","",'Data Entry Sheet'!D43)</f>
        <v>0</v>
      </c>
      <c r="F26" s="41">
        <f>IF($B26="","",'Data Entry Sheet'!E43)</f>
        <v>0</v>
      </c>
      <c r="G26" s="41">
        <f>IF($B26="","",'Data Entry Sheet'!F43)</f>
        <v>0</v>
      </c>
      <c r="H26" s="61">
        <f>IF($B26="","",'Data Entry Sheet'!G43)</f>
        <v>0</v>
      </c>
      <c r="I26" s="8">
        <f t="shared" si="0"/>
        <v>0</v>
      </c>
      <c r="J26" s="8">
        <f t="shared" si="1"/>
        <v>0</v>
      </c>
      <c r="K26" s="8">
        <f t="shared" si="2"/>
        <v>0</v>
      </c>
      <c r="L26" s="26">
        <f t="shared" si="3"/>
        <v>0</v>
      </c>
      <c r="M26" s="78">
        <f t="shared" si="4"/>
        <v>0</v>
      </c>
      <c r="N26" s="42">
        <f t="shared" si="5"/>
        <v>0</v>
      </c>
      <c r="O26" s="42">
        <f t="shared" si="6"/>
        <v>0</v>
      </c>
      <c r="P26" s="79">
        <f t="shared" si="7"/>
        <v>0</v>
      </c>
    </row>
    <row r="27" spans="1:16" ht="12.75">
      <c r="A27" s="62">
        <f>IF($C$2="A",9,IF($C$2="AA",9,""))</f>
        <v>9</v>
      </c>
      <c r="B27" s="41">
        <f>IF('Data Entry Sheet'!B44="BlanK","",'Data Entry Sheet'!$C44)</f>
        <v>0</v>
      </c>
      <c r="C27" s="25">
        <f>IF($B27="","",'Data Entry Sheet'!I44)</f>
        <v>0</v>
      </c>
      <c r="D27" s="74">
        <f>IF($B27="","",'Data Entry Sheet'!H44)</f>
        <v>0</v>
      </c>
      <c r="E27" s="60">
        <f>IF($B27="","",'Data Entry Sheet'!D44)</f>
        <v>0</v>
      </c>
      <c r="F27" s="41">
        <f>IF($B27="","",'Data Entry Sheet'!E44)</f>
        <v>0</v>
      </c>
      <c r="G27" s="41">
        <f>IF($B27="","",'Data Entry Sheet'!F44)</f>
        <v>0</v>
      </c>
      <c r="H27" s="61">
        <f>IF($B27="","",'Data Entry Sheet'!G44)</f>
        <v>0</v>
      </c>
      <c r="I27" s="8">
        <f t="shared" si="0"/>
        <v>0</v>
      </c>
      <c r="J27" s="8">
        <f t="shared" si="1"/>
        <v>0</v>
      </c>
      <c r="K27" s="8">
        <f t="shared" si="2"/>
        <v>0</v>
      </c>
      <c r="L27" s="26">
        <f t="shared" si="3"/>
        <v>0</v>
      </c>
      <c r="M27" s="78">
        <f t="shared" si="4"/>
        <v>0</v>
      </c>
      <c r="N27" s="42">
        <f t="shared" si="5"/>
        <v>0</v>
      </c>
      <c r="O27" s="42">
        <f t="shared" si="6"/>
        <v>0</v>
      </c>
      <c r="P27" s="79">
        <f t="shared" si="7"/>
        <v>0</v>
      </c>
    </row>
    <row r="28" spans="1:16" ht="12.75">
      <c r="A28" s="62">
        <f>IF($C$2="A",10,IF($C$2="AA",10,""))</f>
        <v>10</v>
      </c>
      <c r="B28" s="41">
        <f>IF('Data Entry Sheet'!B45="BlanK","",'Data Entry Sheet'!$C45)</f>
        <v>0</v>
      </c>
      <c r="C28" s="25">
        <f>IF($B28="","",'Data Entry Sheet'!I45)</f>
        <v>0</v>
      </c>
      <c r="D28" s="74">
        <f>IF($B28="","",'Data Entry Sheet'!H45)</f>
        <v>0</v>
      </c>
      <c r="E28" s="60">
        <f>IF($B28="","",'Data Entry Sheet'!D45)</f>
        <v>0</v>
      </c>
      <c r="F28" s="41">
        <f>IF($B28="","",'Data Entry Sheet'!E45)</f>
        <v>0</v>
      </c>
      <c r="G28" s="41">
        <f>IF($B28="","",'Data Entry Sheet'!F45)</f>
        <v>0</v>
      </c>
      <c r="H28" s="61">
        <f>IF($B28="","",'Data Entry Sheet'!G45)</f>
        <v>0</v>
      </c>
      <c r="I28" s="8">
        <f t="shared" si="0"/>
        <v>0</v>
      </c>
      <c r="J28" s="8">
        <f t="shared" si="1"/>
        <v>0</v>
      </c>
      <c r="K28" s="8">
        <f t="shared" si="2"/>
        <v>0</v>
      </c>
      <c r="L28" s="26">
        <f t="shared" si="3"/>
        <v>0</v>
      </c>
      <c r="M28" s="78">
        <f t="shared" si="4"/>
        <v>0</v>
      </c>
      <c r="N28" s="42">
        <f t="shared" si="5"/>
        <v>0</v>
      </c>
      <c r="O28" s="42">
        <f t="shared" si="6"/>
        <v>0</v>
      </c>
      <c r="P28" s="79">
        <f t="shared" si="7"/>
        <v>0</v>
      </c>
    </row>
    <row r="29" spans="1:16" ht="12.75">
      <c r="A29" s="62">
        <f>IF($C$2="A",11,IF($C$2="AA",11,""))</f>
        <v>11</v>
      </c>
      <c r="B29" s="41">
        <f>IF('Data Entry Sheet'!B46="BlanK","",'Data Entry Sheet'!$C46)</f>
        <v>0</v>
      </c>
      <c r="C29" s="25">
        <f>IF($B29="","",'Data Entry Sheet'!I46)</f>
        <v>0</v>
      </c>
      <c r="D29" s="74">
        <f>IF($B29="","",'Data Entry Sheet'!H46)</f>
        <v>0</v>
      </c>
      <c r="E29" s="60">
        <f>IF($B29="","",'Data Entry Sheet'!D46)</f>
        <v>0</v>
      </c>
      <c r="F29" s="41">
        <f>IF($B29="","",'Data Entry Sheet'!E46)</f>
        <v>0</v>
      </c>
      <c r="G29" s="41">
        <f>IF($B29="","",'Data Entry Sheet'!F46)</f>
        <v>0</v>
      </c>
      <c r="H29" s="61">
        <f>IF($B29="","",'Data Entry Sheet'!G46)</f>
        <v>0</v>
      </c>
      <c r="I29" s="8">
        <f t="shared" si="0"/>
        <v>0</v>
      </c>
      <c r="J29" s="8">
        <f t="shared" si="1"/>
        <v>0</v>
      </c>
      <c r="K29" s="8">
        <f t="shared" si="2"/>
        <v>0</v>
      </c>
      <c r="L29" s="26">
        <f t="shared" si="3"/>
        <v>0</v>
      </c>
      <c r="M29" s="78">
        <f t="shared" si="4"/>
        <v>0</v>
      </c>
      <c r="N29" s="42">
        <f t="shared" si="5"/>
        <v>0</v>
      </c>
      <c r="O29" s="42">
        <f t="shared" si="6"/>
        <v>0</v>
      </c>
      <c r="P29" s="79">
        <f t="shared" si="7"/>
        <v>0</v>
      </c>
    </row>
    <row r="30" spans="1:16" ht="12.75">
      <c r="A30" s="91">
        <f>IF($C$2="AA",12,IF($C$2="AA",12,""))</f>
      </c>
      <c r="B30" s="41">
        <f>IF('Data Entry Sheet'!B47="BlanK","",'Data Entry Sheet'!$C47)</f>
      </c>
      <c r="C30" s="25">
        <f>IF($B30="","",'Data Entry Sheet'!I47)</f>
      </c>
      <c r="D30" s="74">
        <f>IF($B30="","",'Data Entry Sheet'!H47)</f>
      </c>
      <c r="E30" s="60">
        <f>IF($B30="","",'Data Entry Sheet'!D47)</f>
      </c>
      <c r="F30" s="41">
        <f>IF($B30="","",'Data Entry Sheet'!E47)</f>
      </c>
      <c r="G30" s="41">
        <f>IF($B30="","",'Data Entry Sheet'!F47)</f>
      </c>
      <c r="H30" s="61">
        <f>IF($B30="","",'Data Entry Sheet'!G47)</f>
      </c>
      <c r="I30" s="8">
        <f t="shared" si="0"/>
      </c>
      <c r="J30" s="8">
        <f t="shared" si="1"/>
      </c>
      <c r="K30" s="8">
        <f t="shared" si="2"/>
      </c>
      <c r="L30" s="26">
        <f t="shared" si="3"/>
      </c>
      <c r="M30" s="78">
        <f t="shared" si="4"/>
      </c>
      <c r="N30" s="42">
        <f t="shared" si="5"/>
      </c>
      <c r="O30" s="42">
        <f t="shared" si="6"/>
      </c>
      <c r="P30" s="79">
        <f t="shared" si="7"/>
      </c>
    </row>
    <row r="31" spans="1:16" ht="12.75">
      <c r="A31" s="91">
        <f>IF($C$2="AA",13,IF($C$2="AA",13,""))</f>
      </c>
      <c r="B31" s="41">
        <f>IF('Data Entry Sheet'!B48="BlanK","",'Data Entry Sheet'!$C48)</f>
      </c>
      <c r="C31" s="25">
        <f>IF($B31="","",'Data Entry Sheet'!I48)</f>
      </c>
      <c r="D31" s="74">
        <f>IF($B31="","",'Data Entry Sheet'!H48)</f>
      </c>
      <c r="E31" s="60">
        <f>IF($B31="","",'Data Entry Sheet'!D48)</f>
      </c>
      <c r="F31" s="41">
        <f>IF($B31="","",'Data Entry Sheet'!E48)</f>
      </c>
      <c r="G31" s="41">
        <f>IF($B31="","",'Data Entry Sheet'!F48)</f>
      </c>
      <c r="H31" s="61">
        <f>IF($B31="","",'Data Entry Sheet'!G48)</f>
      </c>
      <c r="I31" s="8">
        <f t="shared" si="0"/>
      </c>
      <c r="J31" s="8">
        <f t="shared" si="1"/>
      </c>
      <c r="K31" s="8">
        <f t="shared" si="2"/>
      </c>
      <c r="L31" s="26">
        <f t="shared" si="3"/>
      </c>
      <c r="M31" s="78">
        <f t="shared" si="4"/>
      </c>
      <c r="N31" s="42">
        <f t="shared" si="5"/>
      </c>
      <c r="O31" s="42">
        <f t="shared" si="6"/>
      </c>
      <c r="P31" s="79">
        <f t="shared" si="7"/>
      </c>
    </row>
    <row r="32" spans="1:16" ht="12.75">
      <c r="A32" s="91">
        <f>IF($C$2="AA",14,IF($C$2="AA",14,""))</f>
      </c>
      <c r="B32" s="41">
        <f>IF('Data Entry Sheet'!B49="BlanK","",'Data Entry Sheet'!$C49)</f>
      </c>
      <c r="C32" s="25">
        <f>IF($B32="","",'Data Entry Sheet'!I49)</f>
      </c>
      <c r="D32" s="74">
        <f>IF($B32="","",'Data Entry Sheet'!H49)</f>
      </c>
      <c r="E32" s="60">
        <f>IF($B32="","",'Data Entry Sheet'!D49)</f>
      </c>
      <c r="F32" s="41">
        <f>IF($B32="","",'Data Entry Sheet'!E49)</f>
      </c>
      <c r="G32" s="41">
        <f>IF($B32="","",'Data Entry Sheet'!F49)</f>
      </c>
      <c r="H32" s="61">
        <f>IF($B32="","",'Data Entry Sheet'!G49)</f>
      </c>
      <c r="I32" s="8">
        <f t="shared" si="0"/>
      </c>
      <c r="J32" s="8">
        <f t="shared" si="1"/>
      </c>
      <c r="K32" s="8">
        <f t="shared" si="2"/>
      </c>
      <c r="L32" s="26">
        <f t="shared" si="3"/>
      </c>
      <c r="M32" s="78">
        <f t="shared" si="4"/>
      </c>
      <c r="N32" s="42">
        <f t="shared" si="5"/>
      </c>
      <c r="O32" s="42">
        <f t="shared" si="6"/>
      </c>
      <c r="P32" s="79">
        <f t="shared" si="7"/>
      </c>
    </row>
    <row r="33" spans="1:16" ht="12.75">
      <c r="A33" s="91">
        <f>IF($C$2="AA",15,IF($C$2="AA",15,""))</f>
      </c>
      <c r="B33" s="41">
        <f>IF('Data Entry Sheet'!B50="BlanK","",'Data Entry Sheet'!$C50)</f>
      </c>
      <c r="C33" s="25">
        <f>IF($B33="","",'Data Entry Sheet'!I50)</f>
      </c>
      <c r="D33" s="74">
        <f>IF($B33="","",'Data Entry Sheet'!H50)</f>
      </c>
      <c r="E33" s="60">
        <f>IF($B33="","",'Data Entry Sheet'!D50)</f>
      </c>
      <c r="F33" s="41">
        <f>IF($B33="","",'Data Entry Sheet'!E50)</f>
      </c>
      <c r="G33" s="41">
        <f>IF($B33="","",'Data Entry Sheet'!F50)</f>
      </c>
      <c r="H33" s="61">
        <f>IF($B33="","",'Data Entry Sheet'!G50)</f>
      </c>
      <c r="I33" s="8">
        <f t="shared" si="0"/>
      </c>
      <c r="J33" s="8">
        <f t="shared" si="1"/>
      </c>
      <c r="K33" s="8">
        <f t="shared" si="2"/>
      </c>
      <c r="L33" s="26">
        <f t="shared" si="3"/>
      </c>
      <c r="M33" s="78">
        <f t="shared" si="4"/>
      </c>
      <c r="N33" s="42">
        <f t="shared" si="5"/>
      </c>
      <c r="O33" s="42">
        <f t="shared" si="6"/>
      </c>
      <c r="P33" s="79">
        <f t="shared" si="7"/>
      </c>
    </row>
    <row r="34" spans="1:16" ht="12.75">
      <c r="A34" s="91">
        <f>IF($C$2="AA",16,IF($C$2="AA",16,""))</f>
      </c>
      <c r="B34" s="41">
        <f>IF('Data Entry Sheet'!B51="BlanK","",'Data Entry Sheet'!$C51)</f>
      </c>
      <c r="C34" s="25">
        <f>IF($B34="","",'Data Entry Sheet'!I51)</f>
      </c>
      <c r="D34" s="74">
        <f>IF($B34="","",'Data Entry Sheet'!H51)</f>
      </c>
      <c r="E34" s="60">
        <f>IF($B34="","",'Data Entry Sheet'!D51)</f>
      </c>
      <c r="F34" s="41">
        <f>IF($B34="","",'Data Entry Sheet'!E51)</f>
      </c>
      <c r="G34" s="41">
        <f>IF($B34="","",'Data Entry Sheet'!F51)</f>
      </c>
      <c r="H34" s="61">
        <f>IF($B34="","",'Data Entry Sheet'!G51)</f>
      </c>
      <c r="I34" s="8">
        <f t="shared" si="0"/>
      </c>
      <c r="J34" s="8">
        <f t="shared" si="1"/>
      </c>
      <c r="K34" s="8">
        <f t="shared" si="2"/>
      </c>
      <c r="L34" s="26">
        <f t="shared" si="3"/>
      </c>
      <c r="M34" s="78">
        <f t="shared" si="4"/>
      </c>
      <c r="N34" s="42">
        <f t="shared" si="5"/>
      </c>
      <c r="O34" s="42">
        <f t="shared" si="6"/>
      </c>
      <c r="P34" s="79">
        <f t="shared" si="7"/>
      </c>
    </row>
    <row r="35" spans="1:16" ht="12.75">
      <c r="A35" s="91">
        <f>IF($C$2="AA",17,IF($C$2="AA",17,""))</f>
      </c>
      <c r="B35" s="41">
        <f>IF('Data Entry Sheet'!B52="BlanK","",'Data Entry Sheet'!$C52)</f>
      </c>
      <c r="C35" s="25">
        <f>IF($B35="","",'Data Entry Sheet'!I52)</f>
      </c>
      <c r="D35" s="74">
        <f>IF($B35="","",'Data Entry Sheet'!H52)</f>
      </c>
      <c r="E35" s="60">
        <f>IF($B35="","",'Data Entry Sheet'!D52)</f>
      </c>
      <c r="F35" s="41">
        <f>IF($B35="","",'Data Entry Sheet'!E52)</f>
      </c>
      <c r="G35" s="41">
        <f>IF($B35="","",'Data Entry Sheet'!F52)</f>
      </c>
      <c r="H35" s="61">
        <f>IF($B35="","",'Data Entry Sheet'!G52)</f>
      </c>
      <c r="I35" s="8">
        <f t="shared" si="0"/>
      </c>
      <c r="J35" s="8">
        <f t="shared" si="1"/>
      </c>
      <c r="K35" s="8">
        <f t="shared" si="2"/>
      </c>
      <c r="L35" s="26">
        <f t="shared" si="3"/>
      </c>
      <c r="M35" s="78">
        <f t="shared" si="4"/>
      </c>
      <c r="N35" s="42">
        <f t="shared" si="5"/>
      </c>
      <c r="O35" s="42">
        <f t="shared" si="6"/>
      </c>
      <c r="P35" s="79">
        <f t="shared" si="7"/>
      </c>
    </row>
    <row r="36" spans="1:16" ht="12.75">
      <c r="A36" s="91">
        <f>IF($C$2="AA",18,IF($C$2="AA",18,""))</f>
      </c>
      <c r="B36" s="41">
        <f>IF('Data Entry Sheet'!B53="BlanK","",'Data Entry Sheet'!$C53)</f>
      </c>
      <c r="C36" s="25">
        <f>IF($B36="","",'Data Entry Sheet'!I53)</f>
      </c>
      <c r="D36" s="74">
        <f>IF($B36="","",'Data Entry Sheet'!H53)</f>
      </c>
      <c r="E36" s="60">
        <f>IF($B36="","",'Data Entry Sheet'!D53)</f>
      </c>
      <c r="F36" s="41">
        <f>IF($B36="","",'Data Entry Sheet'!E53)</f>
      </c>
      <c r="G36" s="41">
        <f>IF($B36="","",'Data Entry Sheet'!F53)</f>
      </c>
      <c r="H36" s="61">
        <f>IF($B36="","",'Data Entry Sheet'!G53)</f>
      </c>
      <c r="I36" s="8">
        <f t="shared" si="0"/>
      </c>
      <c r="J36" s="8">
        <f t="shared" si="1"/>
      </c>
      <c r="K36" s="8">
        <f t="shared" si="2"/>
      </c>
      <c r="L36" s="26">
        <f t="shared" si="3"/>
      </c>
      <c r="M36" s="78">
        <f t="shared" si="4"/>
      </c>
      <c r="N36" s="42">
        <f t="shared" si="5"/>
      </c>
      <c r="O36" s="42">
        <f t="shared" si="6"/>
      </c>
      <c r="P36" s="79">
        <f t="shared" si="7"/>
      </c>
    </row>
    <row r="37" spans="1:16" ht="12.75">
      <c r="A37" s="91">
        <f>IF($C$2="AA",19,IF($C$2="AA",19,""))</f>
      </c>
      <c r="B37" s="41">
        <f>IF('Data Entry Sheet'!B54="BlanK","",'Data Entry Sheet'!$C54)</f>
      </c>
      <c r="C37" s="25">
        <f>IF($B37="","",'Data Entry Sheet'!I54)</f>
      </c>
      <c r="D37" s="74">
        <f>IF($B37="","",'Data Entry Sheet'!H54)</f>
      </c>
      <c r="E37" s="60">
        <f>IF($B37="","",'Data Entry Sheet'!D54)</f>
      </c>
      <c r="F37" s="41">
        <f>IF($B37="","",'Data Entry Sheet'!E54)</f>
      </c>
      <c r="G37" s="41">
        <f>IF($B37="","",'Data Entry Sheet'!F54)</f>
      </c>
      <c r="H37" s="61">
        <f>IF($B37="","",'Data Entry Sheet'!G54)</f>
      </c>
      <c r="I37" s="8">
        <f t="shared" si="0"/>
      </c>
      <c r="J37" s="8">
        <f t="shared" si="1"/>
      </c>
      <c r="K37" s="8">
        <f t="shared" si="2"/>
      </c>
      <c r="L37" s="26">
        <f t="shared" si="3"/>
      </c>
      <c r="M37" s="78">
        <f t="shared" si="4"/>
      </c>
      <c r="N37" s="42">
        <f t="shared" si="5"/>
      </c>
      <c r="O37" s="42">
        <f t="shared" si="6"/>
      </c>
      <c r="P37" s="79">
        <f t="shared" si="7"/>
      </c>
    </row>
    <row r="38" spans="1:16" ht="12.75">
      <c r="A38" s="91">
        <f>IF($C$2="AA",20,IF($C$2="AA",20,""))</f>
      </c>
      <c r="B38" s="41">
        <f>IF('Data Entry Sheet'!B55="BlanK","",'Data Entry Sheet'!$C55)</f>
      </c>
      <c r="C38" s="25">
        <f>IF($B38="","",'Data Entry Sheet'!I55)</f>
      </c>
      <c r="D38" s="74">
        <f>IF($B38="","",'Data Entry Sheet'!H55)</f>
      </c>
      <c r="E38" s="60">
        <f>IF($B38="","",'Data Entry Sheet'!D55)</f>
      </c>
      <c r="F38" s="41">
        <f>IF($B38="","",'Data Entry Sheet'!E55)</f>
      </c>
      <c r="G38" s="41">
        <f>IF($B38="","",'Data Entry Sheet'!F55)</f>
      </c>
      <c r="H38" s="61">
        <f>IF($B38="","",'Data Entry Sheet'!G55)</f>
      </c>
      <c r="I38" s="8">
        <f t="shared" si="0"/>
      </c>
      <c r="J38" s="8">
        <f t="shared" si="1"/>
      </c>
      <c r="K38" s="8">
        <f t="shared" si="2"/>
      </c>
      <c r="L38" s="26">
        <f t="shared" si="3"/>
      </c>
      <c r="M38" s="78">
        <f t="shared" si="4"/>
      </c>
      <c r="N38" s="42">
        <f t="shared" si="5"/>
      </c>
      <c r="O38" s="42">
        <f t="shared" si="6"/>
      </c>
      <c r="P38" s="79">
        <f t="shared" si="7"/>
      </c>
    </row>
    <row r="39" spans="1:16" ht="12.75">
      <c r="A39" s="91">
        <f>IF($C$2="AA",21,IF($C$2="AA",21,""))</f>
      </c>
      <c r="B39" s="41">
        <f>IF('Data Entry Sheet'!B56="BlanK","",'Data Entry Sheet'!$C56)</f>
      </c>
      <c r="C39" s="25">
        <f>IF($B39="","",'Data Entry Sheet'!I56)</f>
      </c>
      <c r="D39" s="74">
        <f>IF($B39="","",'Data Entry Sheet'!H56)</f>
      </c>
      <c r="E39" s="60">
        <f>IF($B39="","",'Data Entry Sheet'!D56)</f>
      </c>
      <c r="F39" s="41">
        <f>IF($B39="","",'Data Entry Sheet'!E56)</f>
      </c>
      <c r="G39" s="41">
        <f>IF($B39="","",'Data Entry Sheet'!F56)</f>
      </c>
      <c r="H39" s="61">
        <f>IF($B39="","",'Data Entry Sheet'!G56)</f>
      </c>
      <c r="I39" s="8">
        <f t="shared" si="0"/>
      </c>
      <c r="J39" s="8">
        <f t="shared" si="1"/>
      </c>
      <c r="K39" s="8">
        <f t="shared" si="2"/>
      </c>
      <c r="L39" s="26">
        <f t="shared" si="3"/>
      </c>
      <c r="M39" s="78">
        <f t="shared" si="4"/>
      </c>
      <c r="N39" s="42">
        <f t="shared" si="5"/>
      </c>
      <c r="O39" s="42">
        <f t="shared" si="6"/>
      </c>
      <c r="P39" s="79">
        <f t="shared" si="7"/>
      </c>
    </row>
    <row r="40" spans="1:16" ht="12.75">
      <c r="A40" s="91">
        <f>IF($C$2="AA",22,IF($C$2="AA",22,""))</f>
      </c>
      <c r="B40" s="41">
        <f>IF('Data Entry Sheet'!B57="BlanK","",'Data Entry Sheet'!$C57)</f>
      </c>
      <c r="C40" s="25">
        <f>IF($B40="","",'Data Entry Sheet'!I57)</f>
      </c>
      <c r="D40" s="74">
        <f>IF($B40="","",'Data Entry Sheet'!H57)</f>
      </c>
      <c r="E40" s="60">
        <f>IF($B40="","",'Data Entry Sheet'!D57)</f>
      </c>
      <c r="F40" s="41">
        <f>IF($B40="","",'Data Entry Sheet'!E57)</f>
      </c>
      <c r="G40" s="41">
        <f>IF($B40="","",'Data Entry Sheet'!F57)</f>
      </c>
      <c r="H40" s="61">
        <f>IF($B40="","",'Data Entry Sheet'!G57)</f>
      </c>
      <c r="I40" s="8">
        <f t="shared" si="0"/>
      </c>
      <c r="J40" s="8">
        <f t="shared" si="1"/>
      </c>
      <c r="K40" s="8">
        <f t="shared" si="2"/>
      </c>
      <c r="L40" s="26">
        <f t="shared" si="3"/>
      </c>
      <c r="M40" s="78">
        <f t="shared" si="4"/>
      </c>
      <c r="N40" s="42">
        <f t="shared" si="5"/>
      </c>
      <c r="O40" s="42">
        <f t="shared" si="6"/>
      </c>
      <c r="P40" s="79">
        <f t="shared" si="7"/>
      </c>
    </row>
    <row r="41" spans="1:16" ht="12.75">
      <c r="A41" s="91">
        <f>IF($C$2="AA",23,IF($C$2="AA",23,""))</f>
      </c>
      <c r="B41" s="41">
        <f>IF('Data Entry Sheet'!B58="BlanK","",'Data Entry Sheet'!$C58)</f>
      </c>
      <c r="C41" s="25">
        <f>IF($B41="","",'Data Entry Sheet'!I58)</f>
      </c>
      <c r="D41" s="74">
        <f>IF($B41="","",'Data Entry Sheet'!H58)</f>
      </c>
      <c r="E41" s="60">
        <f>IF($B41="","",'Data Entry Sheet'!D58)</f>
      </c>
      <c r="F41" s="41">
        <f>IF($B41="","",'Data Entry Sheet'!E58)</f>
      </c>
      <c r="G41" s="41">
        <f>IF($B41="","",'Data Entry Sheet'!F58)</f>
      </c>
      <c r="H41" s="61">
        <f>IF($B41="","",'Data Entry Sheet'!G58)</f>
      </c>
      <c r="I41" s="8">
        <f t="shared" si="0"/>
      </c>
      <c r="J41" s="8">
        <f t="shared" si="1"/>
      </c>
      <c r="K41" s="8">
        <f t="shared" si="2"/>
      </c>
      <c r="L41" s="26">
        <f t="shared" si="3"/>
      </c>
      <c r="M41" s="78">
        <f t="shared" si="4"/>
      </c>
      <c r="N41" s="42">
        <f t="shared" si="5"/>
      </c>
      <c r="O41" s="42">
        <f t="shared" si="6"/>
      </c>
      <c r="P41" s="79">
        <f t="shared" si="7"/>
      </c>
    </row>
    <row r="42" spans="1:16" ht="12.75">
      <c r="A42" s="91">
        <f>IF($C$2="AA",24,IF($C$2="AA",24,""))</f>
      </c>
      <c r="B42" s="41">
        <f>IF('Data Entry Sheet'!B59="BlanK","",'Data Entry Sheet'!$C59)</f>
      </c>
      <c r="C42" s="25">
        <f>IF($B42="","",'Data Entry Sheet'!I59)</f>
      </c>
      <c r="D42" s="74">
        <f>IF($B42="","",'Data Entry Sheet'!H59)</f>
      </c>
      <c r="E42" s="60">
        <f>IF($B42="","",'Data Entry Sheet'!D59)</f>
      </c>
      <c r="F42" s="41">
        <f>IF($B42="","",'Data Entry Sheet'!E59)</f>
      </c>
      <c r="G42" s="41">
        <f>IF($B42="","",'Data Entry Sheet'!F59)</f>
      </c>
      <c r="H42" s="61">
        <f>IF($B42="","",'Data Entry Sheet'!G59)</f>
      </c>
      <c r="I42" s="8">
        <f t="shared" si="0"/>
      </c>
      <c r="J42" s="8">
        <f t="shared" si="1"/>
      </c>
      <c r="K42" s="8">
        <f t="shared" si="2"/>
      </c>
      <c r="L42" s="26">
        <f t="shared" si="3"/>
      </c>
      <c r="M42" s="78">
        <f t="shared" si="4"/>
      </c>
      <c r="N42" s="42">
        <f t="shared" si="5"/>
      </c>
      <c r="O42" s="42">
        <f t="shared" si="6"/>
      </c>
      <c r="P42" s="79">
        <f t="shared" si="7"/>
      </c>
    </row>
    <row r="43" spans="1:16" ht="13.5" thickBot="1">
      <c r="A43" s="92">
        <f>IF($C$2="AA",25,IF($C$2="AA",25,""))</f>
      </c>
      <c r="B43" s="88">
        <f>IF('Data Entry Sheet'!B60="BlanK","",'Data Entry Sheet'!$C60)</f>
      </c>
      <c r="C43" s="64">
        <f>IF($B43="","",'Data Entry Sheet'!I60)</f>
      </c>
      <c r="D43" s="75">
        <f>IF($B43="","",'Data Entry Sheet'!H60)</f>
      </c>
      <c r="E43" s="87">
        <f>IF($B43="","",'Data Entry Sheet'!D60)</f>
      </c>
      <c r="F43" s="88">
        <f>IF($B43="","",'Data Entry Sheet'!E60)</f>
      </c>
      <c r="G43" s="88">
        <f>IF($B43="","",'Data Entry Sheet'!F60)</f>
      </c>
      <c r="H43" s="110">
        <f>IF($B43="","",'Data Entry Sheet'!G60)</f>
      </c>
      <c r="I43" s="8">
        <f t="shared" si="0"/>
      </c>
      <c r="J43" s="8">
        <f t="shared" si="1"/>
      </c>
      <c r="K43" s="8">
        <f t="shared" si="2"/>
      </c>
      <c r="L43" s="26">
        <f t="shared" si="3"/>
      </c>
      <c r="M43" s="78">
        <f t="shared" si="4"/>
      </c>
      <c r="N43" s="42">
        <f t="shared" si="5"/>
      </c>
      <c r="O43" s="42">
        <f t="shared" si="6"/>
      </c>
      <c r="P43" s="79">
        <f t="shared" si="7"/>
      </c>
    </row>
    <row r="44" spans="5:16" ht="12.75">
      <c r="E44" s="226" t="s">
        <v>9</v>
      </c>
      <c r="F44" s="227"/>
      <c r="G44" s="227"/>
      <c r="H44" s="228"/>
      <c r="I44" s="108">
        <f>IF($C$2="C",AVERAGE(I19:I23),(IF($C$2="b",AVERAGE(I19:I26),IF($C$2="A",AVERAGE(I19:I29),AVERAGE(I19:I43)))))</f>
        <v>0</v>
      </c>
      <c r="J44" s="65">
        <f>IF($C$2="C",AVERAGE(J19:J23),(IF($C$2="b",AVERAGE(J19:J26),IF($C$2="A",AVERAGE(J19:J29),AVERAGE(J19:J43)))))</f>
        <v>0</v>
      </c>
      <c r="K44" s="65">
        <f>IF($C$2="C",AVERAGE(K19:K23),(IF($C$2="b",AVERAGE(K19:K26),IF($C$2="A",AVERAGE(K19:K29),AVERAGE(K19:K43)))))</f>
        <v>0</v>
      </c>
      <c r="L44" s="76">
        <f>IF($C$2="C",AVERAGE(L19:L23),(IF($C$2="b",AVERAGE(L19:L26),IF($C$2="A",AVERAGE(L19:L29),AVERAGE(L19:L43)))))</f>
        <v>0</v>
      </c>
      <c r="M44" s="80"/>
      <c r="N44" s="66"/>
      <c r="O44" s="66"/>
      <c r="P44" s="67"/>
    </row>
    <row r="45" spans="5:16" ht="13.5" thickBot="1">
      <c r="E45" s="216" t="s">
        <v>31</v>
      </c>
      <c r="F45" s="217"/>
      <c r="G45" s="217"/>
      <c r="H45" s="218"/>
      <c r="I45" s="109"/>
      <c r="J45" s="68"/>
      <c r="K45" s="68"/>
      <c r="L45" s="77"/>
      <c r="M45" s="81">
        <f>IF($C$2="C",MAX(M19:M23),(IF($C$2="b",MAX(M19:M26),IF($C$2="A",MAX(M19:M29),MAX(M19:M43)))))</f>
        <v>0</v>
      </c>
      <c r="N45" s="69">
        <f>IF($C$2="C",MAX(N19:N23),(IF($C$2="b",MAX(N19:N26),IF($C$2="A",MAX(N19:N29),MAX(N19:N43)))))</f>
        <v>0</v>
      </c>
      <c r="O45" s="69">
        <f>IF($C$2="C",MAX(O19:O23),(IF($C$2="b",MAX(O19:O26),IF($C$2="A",MAX(O19:O29),MAX(O19:O43)))))</f>
        <v>0</v>
      </c>
      <c r="P45" s="70">
        <f>IF($C$2="C",MAX(P19:P23),(IF($C$2="b",MAX(P19:P26),IF($C$2="A",MAX(P19:P29),MAX(P19:P43)))))</f>
        <v>0</v>
      </c>
    </row>
    <row r="46" spans="5:16" ht="15.75" customHeight="1">
      <c r="E46" s="224" t="s">
        <v>27</v>
      </c>
      <c r="F46" s="224"/>
      <c r="G46" s="224"/>
      <c r="H46" s="224"/>
      <c r="I46" s="2"/>
      <c r="J46" s="2"/>
      <c r="K46" s="2"/>
      <c r="L46" s="2"/>
      <c r="M46" s="224" t="s">
        <v>42</v>
      </c>
      <c r="N46" s="224"/>
      <c r="O46" s="224"/>
      <c r="P46" s="224"/>
    </row>
    <row r="47" spans="5:16" ht="15.75" customHeight="1">
      <c r="E47" s="225"/>
      <c r="F47" s="225"/>
      <c r="G47" s="225"/>
      <c r="H47" s="225"/>
      <c r="I47" s="14"/>
      <c r="J47" s="14"/>
      <c r="K47" s="14"/>
      <c r="L47" s="14"/>
      <c r="M47" s="225"/>
      <c r="N47" s="225"/>
      <c r="O47" s="225"/>
      <c r="P47" s="225"/>
    </row>
    <row r="48" spans="5:16" ht="15.75" customHeight="1">
      <c r="E48" s="225"/>
      <c r="F48" s="225"/>
      <c r="G48" s="225"/>
      <c r="H48" s="225"/>
      <c r="I48" s="17"/>
      <c r="J48" s="17"/>
      <c r="K48" s="17"/>
      <c r="L48" s="17"/>
      <c r="M48" s="225"/>
      <c r="N48" s="225"/>
      <c r="O48" s="225"/>
      <c r="P48" s="225"/>
    </row>
    <row r="49" spans="9:16" ht="13.5" customHeight="1">
      <c r="I49" s="17"/>
      <c r="J49" s="17"/>
      <c r="K49" s="17"/>
      <c r="L49" s="17"/>
      <c r="M49" s="219"/>
      <c r="N49" s="219"/>
      <c r="O49" s="219"/>
      <c r="P49" s="219"/>
    </row>
    <row r="50" spans="9:16" ht="13.5" customHeight="1" thickBot="1">
      <c r="I50" s="17"/>
      <c r="J50" s="17"/>
      <c r="K50" s="17"/>
      <c r="L50" s="17"/>
      <c r="M50" s="220"/>
      <c r="N50" s="220"/>
      <c r="O50" s="220"/>
      <c r="P50" s="220"/>
    </row>
    <row r="51" spans="1:16" ht="12.75" customHeight="1">
      <c r="A51" s="195" t="s">
        <v>56</v>
      </c>
      <c r="B51" s="195" t="s">
        <v>28</v>
      </c>
      <c r="C51" s="195" t="s">
        <v>29</v>
      </c>
      <c r="D51" s="195" t="s">
        <v>30</v>
      </c>
      <c r="E51" s="181" t="s">
        <v>1</v>
      </c>
      <c r="F51" s="209"/>
      <c r="G51" s="209"/>
      <c r="H51" s="209"/>
      <c r="I51" s="212" t="s">
        <v>37</v>
      </c>
      <c r="J51" s="213"/>
      <c r="K51" s="213"/>
      <c r="L51" s="214"/>
      <c r="M51" s="118"/>
      <c r="N51" s="119"/>
      <c r="O51" s="119"/>
      <c r="P51" s="119"/>
    </row>
    <row r="52" spans="1:16" ht="13.5" thickBot="1">
      <c r="A52" s="196"/>
      <c r="B52" s="196"/>
      <c r="C52" s="196"/>
      <c r="D52" s="196"/>
      <c r="E52" s="210" t="s">
        <v>7</v>
      </c>
      <c r="F52" s="211"/>
      <c r="G52" s="211"/>
      <c r="H52" s="211"/>
      <c r="I52" s="210" t="s">
        <v>7</v>
      </c>
      <c r="J52" s="211"/>
      <c r="K52" s="211"/>
      <c r="L52" s="215"/>
      <c r="M52" s="120"/>
      <c r="N52" s="103"/>
      <c r="O52" s="103"/>
      <c r="P52" s="103"/>
    </row>
    <row r="53" spans="1:16" ht="21" thickBot="1">
      <c r="A53" s="197"/>
      <c r="B53" s="197"/>
      <c r="C53" s="197"/>
      <c r="D53" s="197"/>
      <c r="E53" s="5" t="s">
        <v>2</v>
      </c>
      <c r="F53" s="6" t="s">
        <v>3</v>
      </c>
      <c r="G53" s="6" t="s">
        <v>4</v>
      </c>
      <c r="H53" s="7" t="s">
        <v>5</v>
      </c>
      <c r="I53" s="5" t="s">
        <v>2</v>
      </c>
      <c r="J53" s="6" t="s">
        <v>3</v>
      </c>
      <c r="K53" s="6" t="s">
        <v>4</v>
      </c>
      <c r="L53" s="7" t="s">
        <v>5</v>
      </c>
      <c r="M53" s="103"/>
      <c r="N53" s="121"/>
      <c r="O53" s="103"/>
      <c r="P53" s="121"/>
    </row>
    <row r="54" spans="1:16" ht="20.25">
      <c r="A54" s="82">
        <v>1</v>
      </c>
      <c r="B54" s="41">
        <f aca="true" t="shared" si="8" ref="B54:B78">B19</f>
        <v>0</v>
      </c>
      <c r="C54" s="176">
        <f>IF($B19="","",'Data Entry Sheet'!K36)</f>
        <v>0</v>
      </c>
      <c r="D54" s="173">
        <f aca="true" t="shared" si="9" ref="D54:D78">D19</f>
        <v>0</v>
      </c>
      <c r="E54" s="83">
        <f>IF($B19="","",'Data Entry Sheet'!L36)</f>
        <v>0</v>
      </c>
      <c r="F54" s="83">
        <f>IF($B19="","",'Data Entry Sheet'!M36)</f>
        <v>0</v>
      </c>
      <c r="G54" s="83">
        <f>IF($B19="","",'Data Entry Sheet'!N36)</f>
        <v>0</v>
      </c>
      <c r="H54" s="84">
        <f>IF($B19="","",'Data Entry Sheet'!O36)</f>
        <v>0</v>
      </c>
      <c r="I54" s="150">
        <f>IF(E54=0,0,IF(E54="","",E54/(1+VLOOKUP('[2]Data Entry Sheet'!$B$18,'[2]Constants'!$A$2:$B$22,2,FALSE)*($E54-20))))</f>
        <v>0</v>
      </c>
      <c r="J54" s="151">
        <f>IF(F54=0,0,IF(F54="","",F54/(1+VLOOKUP('[2]Data Entry Sheet'!$B$18,'[2]Constants'!$A$2:$B$22,2,FALSE)*($E54-20))))</f>
        <v>0</v>
      </c>
      <c r="K54" s="151">
        <f>IF(G54=0,0,IF(G54="","",G54/(1+VLOOKUP('[2]Data Entry Sheet'!$B$18,'[2]Constants'!$A$2:$B$22,2,FALSE)*($E54-20))))</f>
        <v>0</v>
      </c>
      <c r="L54" s="151">
        <f>IF(H54=0,0,IF(H54="","",H54/(1+VLOOKUP('[2]Data Entry Sheet'!$B$18,'[2]Constants'!$A$2:$B$22,2,FALSE)*($E54-20))))</f>
        <v>0</v>
      </c>
      <c r="N54" s="19"/>
      <c r="O54" s="19"/>
      <c r="P54" s="19"/>
    </row>
    <row r="55" spans="1:12" ht="12.75">
      <c r="A55" s="62">
        <v>2</v>
      </c>
      <c r="B55" s="25">
        <f t="shared" si="8"/>
        <v>0</v>
      </c>
      <c r="C55" s="177">
        <f>IF($B20="","",'Data Entry Sheet'!K37)</f>
        <v>0</v>
      </c>
      <c r="D55" s="174">
        <f t="shared" si="9"/>
        <v>0</v>
      </c>
      <c r="E55" s="85">
        <f>IF($B20="","",'Data Entry Sheet'!L37)</f>
        <v>0</v>
      </c>
      <c r="F55" s="85">
        <f>IF($B20="","",'Data Entry Sheet'!M37)</f>
        <v>0</v>
      </c>
      <c r="G55" s="85">
        <f>IF($B20="","",'Data Entry Sheet'!N37)</f>
        <v>0</v>
      </c>
      <c r="H55" s="72">
        <f>IF($B20="","",'Data Entry Sheet'!O37)</f>
        <v>0</v>
      </c>
      <c r="I55" s="49">
        <f>IF(E55=0,0,IF(E55="","",E55/(1+VLOOKUP('[2]Data Entry Sheet'!$B$18,'[2]Constants'!$A$2:$B$22,2,FALSE)*($E55-20))))</f>
        <v>0</v>
      </c>
      <c r="J55" s="50">
        <f>IF(F55=0,0,IF(F55="","",F55/(1+VLOOKUP('[2]Data Entry Sheet'!$B$18,'[2]Constants'!$A$2:$B$22,2,FALSE)*($E55-20))))</f>
        <v>0</v>
      </c>
      <c r="K55" s="50">
        <f>IF(G55=0,0,IF(G55="","",G55/(1+VLOOKUP('[2]Data Entry Sheet'!$B$18,'[2]Constants'!$A$2:$B$22,2,FALSE)*($E55-20))))</f>
        <v>0</v>
      </c>
      <c r="L55" s="50">
        <f>IF(H55=0,0,IF(H55="","",H55/(1+VLOOKUP('[2]Data Entry Sheet'!$B$18,'[2]Constants'!$A$2:$B$22,2,FALSE)*($E55-20))))</f>
        <v>0</v>
      </c>
    </row>
    <row r="56" spans="1:14" ht="12.75">
      <c r="A56" s="62">
        <v>3</v>
      </c>
      <c r="B56" s="25">
        <f t="shared" si="8"/>
        <v>0</v>
      </c>
      <c r="C56" s="177">
        <f>IF($B21="","",'Data Entry Sheet'!K38)</f>
        <v>0</v>
      </c>
      <c r="D56" s="174">
        <f t="shared" si="9"/>
        <v>0</v>
      </c>
      <c r="E56" s="85">
        <f>IF($B21="","",'Data Entry Sheet'!L38)</f>
        <v>0</v>
      </c>
      <c r="F56" s="85">
        <f>IF($B21="","",'Data Entry Sheet'!M38)</f>
        <v>0</v>
      </c>
      <c r="G56" s="85">
        <f>IF($B21="","",'Data Entry Sheet'!N38)</f>
        <v>0</v>
      </c>
      <c r="H56" s="72">
        <f>IF($B21="","",'Data Entry Sheet'!O38)</f>
        <v>0</v>
      </c>
      <c r="I56" s="49">
        <f>IF(E56=0,0,IF(E56="","",E56/(1+VLOOKUP('[2]Data Entry Sheet'!$B$18,'[2]Constants'!$A$2:$B$22,2,FALSE)*($E56-20))))</f>
        <v>0</v>
      </c>
      <c r="J56" s="50">
        <f>IF(F56=0,0,IF(F56="","",F56/(1+VLOOKUP('[2]Data Entry Sheet'!$B$18,'[2]Constants'!$A$2:$B$22,2,FALSE)*($E56-20))))</f>
        <v>0</v>
      </c>
      <c r="K56" s="50">
        <f>IF(G56=0,0,IF(G56="","",G56/(1+VLOOKUP('[2]Data Entry Sheet'!$B$18,'[2]Constants'!$A$2:$B$22,2,FALSE)*($E56-20))))</f>
        <v>0</v>
      </c>
      <c r="L56" s="50">
        <f>IF(H56=0,0,IF(H56="","",H56/(1+VLOOKUP('[2]Data Entry Sheet'!$B$18,'[2]Constants'!$A$2:$B$22,2,FALSE)*($E56-20))))</f>
        <v>0</v>
      </c>
      <c r="N56" s="18"/>
    </row>
    <row r="57" spans="1:12" ht="12.75">
      <c r="A57" s="62">
        <v>4</v>
      </c>
      <c r="B57" s="25">
        <f t="shared" si="8"/>
        <v>0</v>
      </c>
      <c r="C57" s="177">
        <f>IF($B22="","",'Data Entry Sheet'!K39)</f>
        <v>0</v>
      </c>
      <c r="D57" s="174">
        <f t="shared" si="9"/>
        <v>0</v>
      </c>
      <c r="E57" s="85">
        <f>IF($B22="","",'Data Entry Sheet'!L39)</f>
        <v>0</v>
      </c>
      <c r="F57" s="85">
        <f>IF($B22="","",'Data Entry Sheet'!M39)</f>
        <v>0</v>
      </c>
      <c r="G57" s="85">
        <f>IF($B22="","",'Data Entry Sheet'!N39)</f>
        <v>0</v>
      </c>
      <c r="H57" s="72">
        <f>IF($B22="","",'Data Entry Sheet'!O39)</f>
        <v>0</v>
      </c>
      <c r="I57" s="49">
        <f>IF(E57=0,0,IF(E57="","",E57/(1+VLOOKUP('[2]Data Entry Sheet'!$B$18,'[2]Constants'!$A$2:$B$22,2,FALSE)*($E57-20))))</f>
        <v>0</v>
      </c>
      <c r="J57" s="50">
        <f>IF(F57=0,0,IF(F57="","",F57/(1+VLOOKUP('[2]Data Entry Sheet'!$B$18,'[2]Constants'!$A$2:$B$22,2,FALSE)*($E57-20))))</f>
        <v>0</v>
      </c>
      <c r="K57" s="50">
        <f>IF(G57=0,0,IF(G57="","",G57/(1+VLOOKUP('[2]Data Entry Sheet'!$B$18,'[2]Constants'!$A$2:$B$22,2,FALSE)*($E57-20))))</f>
        <v>0</v>
      </c>
      <c r="L57" s="50">
        <f>IF(H57=0,0,IF(H57="","",H57/(1+VLOOKUP('[2]Data Entry Sheet'!$B$18,'[2]Constants'!$A$2:$B$22,2,FALSE)*($E57-20))))</f>
        <v>0</v>
      </c>
    </row>
    <row r="58" spans="1:12" ht="12.75">
      <c r="A58" s="62">
        <v>5</v>
      </c>
      <c r="B58" s="25">
        <f t="shared" si="8"/>
        <v>0</v>
      </c>
      <c r="C58" s="177">
        <f>IF($B23="","",'Data Entry Sheet'!K40)</f>
        <v>0</v>
      </c>
      <c r="D58" s="174">
        <f t="shared" si="9"/>
        <v>0</v>
      </c>
      <c r="E58" s="85">
        <f>IF($B23="","",'Data Entry Sheet'!L40)</f>
        <v>0</v>
      </c>
      <c r="F58" s="85">
        <f>IF($B23="","",'Data Entry Sheet'!M40)</f>
        <v>0</v>
      </c>
      <c r="G58" s="85">
        <f>IF($B23="","",'Data Entry Sheet'!N40)</f>
        <v>0</v>
      </c>
      <c r="H58" s="72">
        <f>IF($B23="","",'Data Entry Sheet'!O40)</f>
        <v>0</v>
      </c>
      <c r="I58" s="49">
        <f>IF(E58=0,0,IF(E58="","",E58/(1+VLOOKUP('[2]Data Entry Sheet'!$B$18,'[2]Constants'!$A$2:$B$22,2,FALSE)*($E58-20))))</f>
        <v>0</v>
      </c>
      <c r="J58" s="50">
        <f>IF(F58=0,0,IF(F58="","",F58/(1+VLOOKUP('[2]Data Entry Sheet'!$B$18,'[2]Constants'!$A$2:$B$22,2,FALSE)*($E58-20))))</f>
        <v>0</v>
      </c>
      <c r="K58" s="50">
        <f>IF(G58=0,0,IF(G58="","",G58/(1+VLOOKUP('[2]Data Entry Sheet'!$B$18,'[2]Constants'!$A$2:$B$22,2,FALSE)*($E58-20))))</f>
        <v>0</v>
      </c>
      <c r="L58" s="50">
        <f>IF(H58=0,0,IF(H58="","",H58/(1+VLOOKUP('[2]Data Entry Sheet'!$B$18,'[2]Constants'!$A$2:$B$22,2,FALSE)*($E58-20))))</f>
        <v>0</v>
      </c>
    </row>
    <row r="59" spans="1:12" ht="12.75">
      <c r="A59" s="62">
        <f>IF($C$2="B",6,IF($C$2="A",6,IF($C$2="AA",6,"")))</f>
        <v>6</v>
      </c>
      <c r="B59" s="25">
        <f t="shared" si="8"/>
        <v>0</v>
      </c>
      <c r="C59" s="177">
        <f>IF($B24="","",'Data Entry Sheet'!K41)</f>
        <v>0</v>
      </c>
      <c r="D59" s="174">
        <f t="shared" si="9"/>
        <v>0</v>
      </c>
      <c r="E59" s="85">
        <f>IF($B24="","",'Data Entry Sheet'!L41)</f>
        <v>0</v>
      </c>
      <c r="F59" s="85">
        <f>IF($B24="","",'Data Entry Sheet'!M41)</f>
        <v>0</v>
      </c>
      <c r="G59" s="85">
        <f>IF($B24="","",'Data Entry Sheet'!N41)</f>
        <v>0</v>
      </c>
      <c r="H59" s="72">
        <f>IF($B24="","",'Data Entry Sheet'!O41)</f>
        <v>0</v>
      </c>
      <c r="I59" s="49">
        <f>IF(E59=0,0,IF(E59="","",E59/(1+VLOOKUP('[2]Data Entry Sheet'!$B$18,'[2]Constants'!$A$2:$B$22,2,FALSE)*($E59-20))))</f>
        <v>0</v>
      </c>
      <c r="J59" s="50">
        <f>IF(F59=0,0,IF(F59="","",F59/(1+VLOOKUP('[2]Data Entry Sheet'!$B$18,'[2]Constants'!$A$2:$B$22,2,FALSE)*($E59-20))))</f>
        <v>0</v>
      </c>
      <c r="K59" s="50">
        <f>IF(G59=0,0,IF(G59="","",G59/(1+VLOOKUP('[2]Data Entry Sheet'!$B$18,'[2]Constants'!$A$2:$B$22,2,FALSE)*($E59-20))))</f>
        <v>0</v>
      </c>
      <c r="L59" s="50">
        <f>IF(H59=0,0,IF(H59="","",H59/(1+VLOOKUP('[2]Data Entry Sheet'!$B$18,'[2]Constants'!$A$2:$B$22,2,FALSE)*($E59-20))))</f>
        <v>0</v>
      </c>
    </row>
    <row r="60" spans="1:12" ht="12.75">
      <c r="A60" s="62">
        <f>IF($C$2="B",7,IF($C$2="A",7,IF($C$2="AA",7,"")))</f>
        <v>7</v>
      </c>
      <c r="B60" s="25">
        <f t="shared" si="8"/>
        <v>0</v>
      </c>
      <c r="C60" s="177">
        <f>IF($B25="","",'Data Entry Sheet'!K42)</f>
        <v>0</v>
      </c>
      <c r="D60" s="174">
        <f t="shared" si="9"/>
        <v>0</v>
      </c>
      <c r="E60" s="85">
        <f>IF($B25="","",'Data Entry Sheet'!L42)</f>
        <v>0</v>
      </c>
      <c r="F60" s="85">
        <f>IF($B25="","",'Data Entry Sheet'!M42)</f>
        <v>0</v>
      </c>
      <c r="G60" s="85">
        <f>IF($B25="","",'Data Entry Sheet'!N42)</f>
        <v>0</v>
      </c>
      <c r="H60" s="72">
        <f>IF($B25="","",'Data Entry Sheet'!O42)</f>
        <v>0</v>
      </c>
      <c r="I60" s="49">
        <f>IF(E60=0,0,IF(E60="","",E60/(1+VLOOKUP('[2]Data Entry Sheet'!$B$18,'[2]Constants'!$A$2:$B$22,2,FALSE)*($E60-20))))</f>
        <v>0</v>
      </c>
      <c r="J60" s="50">
        <f>IF(F60=0,0,IF(F60="","",F60/(1+VLOOKUP('[2]Data Entry Sheet'!$B$18,'[2]Constants'!$A$2:$B$22,2,FALSE)*($E60-20))))</f>
        <v>0</v>
      </c>
      <c r="K60" s="50">
        <f>IF(G60=0,0,IF(G60="","",G60/(1+VLOOKUP('[2]Data Entry Sheet'!$B$18,'[2]Constants'!$A$2:$B$22,2,FALSE)*($E60-20))))</f>
        <v>0</v>
      </c>
      <c r="L60" s="50">
        <f>IF(H60=0,0,IF(H60="","",H60/(1+VLOOKUP('[2]Data Entry Sheet'!$B$18,'[2]Constants'!$A$2:$B$22,2,FALSE)*($E60-20))))</f>
        <v>0</v>
      </c>
    </row>
    <row r="61" spans="1:12" ht="12.75">
      <c r="A61" s="62">
        <f>IF($C$2="B",8,IF($C$2="A",8,IF($C$2="AA",8,"")))</f>
        <v>8</v>
      </c>
      <c r="B61" s="25">
        <f t="shared" si="8"/>
        <v>0</v>
      </c>
      <c r="C61" s="177">
        <f>IF($B26="","",'Data Entry Sheet'!K43)</f>
        <v>0</v>
      </c>
      <c r="D61" s="174">
        <f t="shared" si="9"/>
        <v>0</v>
      </c>
      <c r="E61" s="85">
        <f>IF($B26="","",'Data Entry Sheet'!L43)</f>
        <v>0</v>
      </c>
      <c r="F61" s="85">
        <f>IF($B26="","",'Data Entry Sheet'!M43)</f>
        <v>0</v>
      </c>
      <c r="G61" s="85">
        <f>IF($B26="","",'Data Entry Sheet'!N43)</f>
        <v>0</v>
      </c>
      <c r="H61" s="72">
        <f>IF($B26="","",'Data Entry Sheet'!O43)</f>
        <v>0</v>
      </c>
      <c r="I61" s="49">
        <f>IF(E61=0,0,IF(E61="","",E61/(1+VLOOKUP('[2]Data Entry Sheet'!$B$18,'[2]Constants'!$A$2:$B$22,2,FALSE)*($E61-20))))</f>
        <v>0</v>
      </c>
      <c r="J61" s="50">
        <f>IF(F61=0,0,IF(F61="","",F61/(1+VLOOKUP('[2]Data Entry Sheet'!$B$18,'[2]Constants'!$A$2:$B$22,2,FALSE)*($E61-20))))</f>
        <v>0</v>
      </c>
      <c r="K61" s="50">
        <f>IF(G61=0,0,IF(G61="","",G61/(1+VLOOKUP('[2]Data Entry Sheet'!$B$18,'[2]Constants'!$A$2:$B$22,2,FALSE)*($E61-20))))</f>
        <v>0</v>
      </c>
      <c r="L61" s="50">
        <f>IF(H61=0,0,IF(H61="","",H61/(1+VLOOKUP('[2]Data Entry Sheet'!$B$18,'[2]Constants'!$A$2:$B$22,2,FALSE)*($E61-20))))</f>
        <v>0</v>
      </c>
    </row>
    <row r="62" spans="1:12" ht="12.75">
      <c r="A62" s="62">
        <f>IF($C$2="A",9,IF($C$2="AA",9,""))</f>
        <v>9</v>
      </c>
      <c r="B62" s="25">
        <f t="shared" si="8"/>
        <v>0</v>
      </c>
      <c r="C62" s="177">
        <f>IF($B27="","",'Data Entry Sheet'!K44)</f>
        <v>0</v>
      </c>
      <c r="D62" s="174">
        <f t="shared" si="9"/>
        <v>0</v>
      </c>
      <c r="E62" s="85">
        <f>IF($B27="","",'Data Entry Sheet'!L44)</f>
        <v>0</v>
      </c>
      <c r="F62" s="85">
        <f>IF($B27="","",'Data Entry Sheet'!M44)</f>
        <v>0</v>
      </c>
      <c r="G62" s="85">
        <f>IF($B27="","",'Data Entry Sheet'!N44)</f>
        <v>0</v>
      </c>
      <c r="H62" s="72">
        <f>IF($B27="","",'Data Entry Sheet'!O44)</f>
        <v>0</v>
      </c>
      <c r="I62" s="49">
        <f>IF(E62=0,0,IF(E62="","",E62/(1+VLOOKUP('[2]Data Entry Sheet'!$B$18,'[2]Constants'!$A$2:$B$22,2,FALSE)*($E62-20))))</f>
        <v>0</v>
      </c>
      <c r="J62" s="50">
        <f>IF(F62=0,0,IF(F62="","",F62/(1+VLOOKUP('[2]Data Entry Sheet'!$B$18,'[2]Constants'!$A$2:$B$22,2,FALSE)*($E62-20))))</f>
        <v>0</v>
      </c>
      <c r="K62" s="50">
        <f>IF(G62=0,0,IF(G62="","",G62/(1+VLOOKUP('[2]Data Entry Sheet'!$B$18,'[2]Constants'!$A$2:$B$22,2,FALSE)*($E62-20))))</f>
        <v>0</v>
      </c>
      <c r="L62" s="50">
        <f>IF(H62=0,0,IF(H62="","",H62/(1+VLOOKUP('[2]Data Entry Sheet'!$B$18,'[2]Constants'!$A$2:$B$22,2,FALSE)*($E62-20))))</f>
        <v>0</v>
      </c>
    </row>
    <row r="63" spans="1:12" ht="12.75">
      <c r="A63" s="62">
        <f>IF($C$2="A",10,IF($C$2="AA",10,""))</f>
        <v>10</v>
      </c>
      <c r="B63" s="25">
        <f t="shared" si="8"/>
        <v>0</v>
      </c>
      <c r="C63" s="177">
        <f>IF($B28="","",'Data Entry Sheet'!K45)</f>
        <v>0</v>
      </c>
      <c r="D63" s="174">
        <f t="shared" si="9"/>
        <v>0</v>
      </c>
      <c r="E63" s="85">
        <f>IF($B28="","",'Data Entry Sheet'!L45)</f>
        <v>0</v>
      </c>
      <c r="F63" s="85">
        <f>IF($B28="","",'Data Entry Sheet'!M45)</f>
        <v>0</v>
      </c>
      <c r="G63" s="85">
        <f>IF($B28="","",'Data Entry Sheet'!N45)</f>
        <v>0</v>
      </c>
      <c r="H63" s="72">
        <f>IF($B28="","",'Data Entry Sheet'!O45)</f>
        <v>0</v>
      </c>
      <c r="I63" s="49">
        <f>IF(E63=0,0,IF(E63="","",E63/(1+VLOOKUP('[2]Data Entry Sheet'!$B$18,'[2]Constants'!$A$2:$B$22,2,FALSE)*($E63-20))))</f>
        <v>0</v>
      </c>
      <c r="J63" s="50">
        <f>IF(F63=0,0,IF(F63="","",F63/(1+VLOOKUP('[2]Data Entry Sheet'!$B$18,'[2]Constants'!$A$2:$B$22,2,FALSE)*($E63-20))))</f>
        <v>0</v>
      </c>
      <c r="K63" s="50">
        <f>IF(G63=0,0,IF(G63="","",G63/(1+VLOOKUP('[2]Data Entry Sheet'!$B$18,'[2]Constants'!$A$2:$B$22,2,FALSE)*($E63-20))))</f>
        <v>0</v>
      </c>
      <c r="L63" s="50">
        <f>IF(H63=0,0,IF(H63="","",H63/(1+VLOOKUP('[2]Data Entry Sheet'!$B$18,'[2]Constants'!$A$2:$B$22,2,FALSE)*($E63-20))))</f>
        <v>0</v>
      </c>
    </row>
    <row r="64" spans="1:12" ht="12.75">
      <c r="A64" s="62">
        <f>IF($C$2="A",11,IF($C$2="AA",11,""))</f>
        <v>11</v>
      </c>
      <c r="B64" s="25">
        <f t="shared" si="8"/>
        <v>0</v>
      </c>
      <c r="C64" s="177">
        <f>IF($B29="","",'Data Entry Sheet'!K46)</f>
        <v>0</v>
      </c>
      <c r="D64" s="174">
        <f t="shared" si="9"/>
        <v>0</v>
      </c>
      <c r="E64" s="85">
        <f>IF($B29="","",'Data Entry Sheet'!L46)</f>
        <v>0</v>
      </c>
      <c r="F64" s="85">
        <f>IF($B29="","",'Data Entry Sheet'!M46)</f>
        <v>0</v>
      </c>
      <c r="G64" s="85">
        <f>IF($B29="","",'Data Entry Sheet'!N46)</f>
        <v>0</v>
      </c>
      <c r="H64" s="72">
        <f>IF($B29="","",'Data Entry Sheet'!O46)</f>
        <v>0</v>
      </c>
      <c r="I64" s="49">
        <f>IF(E64=0,0,IF(E64="","",E64/(1+VLOOKUP('[2]Data Entry Sheet'!$B$18,'[2]Constants'!$A$2:$B$22,2,FALSE)*($E64-20))))</f>
        <v>0</v>
      </c>
      <c r="J64" s="50">
        <f>IF(F64=0,0,IF(F64="","",F64/(1+VLOOKUP('[2]Data Entry Sheet'!$B$18,'[2]Constants'!$A$2:$B$22,2,FALSE)*($E64-20))))</f>
        <v>0</v>
      </c>
      <c r="K64" s="50">
        <f>IF(G64=0,0,IF(G64="","",G64/(1+VLOOKUP('[2]Data Entry Sheet'!$B$18,'[2]Constants'!$A$2:$B$22,2,FALSE)*($E64-20))))</f>
        <v>0</v>
      </c>
      <c r="L64" s="50">
        <f>IF(H64=0,0,IF(H64="","",H64/(1+VLOOKUP('[2]Data Entry Sheet'!$B$18,'[2]Constants'!$A$2:$B$22,2,FALSE)*($E64-20))))</f>
        <v>0</v>
      </c>
    </row>
    <row r="65" spans="1:12" ht="12.75">
      <c r="A65" s="62">
        <f>IF($C$2="AA",12,IF($C$2="AA",12,""))</f>
      </c>
      <c r="B65" s="25">
        <f t="shared" si="8"/>
      </c>
      <c r="C65" s="177">
        <f>IF($B30="","",'Data Entry Sheet'!K47)</f>
      </c>
      <c r="D65" s="174">
        <f t="shared" si="9"/>
      </c>
      <c r="E65" s="85">
        <f>IF($B30="","",'Data Entry Sheet'!L47)</f>
      </c>
      <c r="F65" s="85">
        <f>IF($B30="","",'Data Entry Sheet'!M47)</f>
      </c>
      <c r="G65" s="85">
        <f>IF($B30="","",'Data Entry Sheet'!N47)</f>
      </c>
      <c r="H65" s="72">
        <f>IF($B30="","",'Data Entry Sheet'!O47)</f>
      </c>
      <c r="I65" s="49">
        <f>IF(E65=0,0,IF(E65="","",E65/(1+VLOOKUP('[2]Data Entry Sheet'!$B$18,'[2]Constants'!$A$2:$B$22,2,FALSE)*($E65-20))))</f>
      </c>
      <c r="J65" s="50">
        <f>IF(F65=0,0,IF(F65="","",F65/(1+VLOOKUP('[2]Data Entry Sheet'!$B$18,'[2]Constants'!$A$2:$B$22,2,FALSE)*($E65-20))))</f>
      </c>
      <c r="K65" s="50">
        <f>IF(G65=0,0,IF(G65="","",G65/(1+VLOOKUP('[2]Data Entry Sheet'!$B$18,'[2]Constants'!$A$2:$B$22,2,FALSE)*($E65-20))))</f>
      </c>
      <c r="L65" s="50">
        <f>IF(H65=0,0,IF(H65="","",H65/(1+VLOOKUP('[2]Data Entry Sheet'!$B$18,'[2]Constants'!$A$2:$B$22,2,FALSE)*($E65-20))))</f>
      </c>
    </row>
    <row r="66" spans="1:12" ht="12.75">
      <c r="A66" s="62">
        <f>IF($C$2="AA",13,IF($C$2="AA",13,""))</f>
      </c>
      <c r="B66" s="25">
        <f t="shared" si="8"/>
      </c>
      <c r="C66" s="177">
        <f>IF($B31="","",'Data Entry Sheet'!K48)</f>
      </c>
      <c r="D66" s="174">
        <f t="shared" si="9"/>
      </c>
      <c r="E66" s="85">
        <f>IF($B31="","",'Data Entry Sheet'!L48)</f>
      </c>
      <c r="F66" s="85">
        <f>IF($B31="","",'Data Entry Sheet'!M48)</f>
      </c>
      <c r="G66" s="85">
        <f>IF($B31="","",'Data Entry Sheet'!N48)</f>
      </c>
      <c r="H66" s="72">
        <f>IF($B31="","",'Data Entry Sheet'!O48)</f>
      </c>
      <c r="I66" s="49">
        <f>IF(E66=0,0,IF(E66="","",E66/(1+VLOOKUP('[2]Data Entry Sheet'!$B$18,'[2]Constants'!$A$2:$B$22,2,FALSE)*($E66-20))))</f>
      </c>
      <c r="J66" s="50">
        <f>IF(F66=0,0,IF(F66="","",F66/(1+VLOOKUP('[2]Data Entry Sheet'!$B$18,'[2]Constants'!$A$2:$B$22,2,FALSE)*($E66-20))))</f>
      </c>
      <c r="K66" s="50">
        <f>IF(G66=0,0,IF(G66="","",G66/(1+VLOOKUP('[2]Data Entry Sheet'!$B$18,'[2]Constants'!$A$2:$B$22,2,FALSE)*($E66-20))))</f>
      </c>
      <c r="L66" s="50">
        <f>IF(H66=0,0,IF(H66="","",H66/(1+VLOOKUP('[2]Data Entry Sheet'!$B$18,'[2]Constants'!$A$2:$B$22,2,FALSE)*($E66-20))))</f>
      </c>
    </row>
    <row r="67" spans="1:12" ht="12.75">
      <c r="A67" s="62">
        <f>IF($C$2="AA",14,IF($C$2="AA",14,""))</f>
      </c>
      <c r="B67" s="25">
        <f t="shared" si="8"/>
      </c>
      <c r="C67" s="177">
        <f>IF($B32="","",'Data Entry Sheet'!K49)</f>
      </c>
      <c r="D67" s="174">
        <f t="shared" si="9"/>
      </c>
      <c r="E67" s="85">
        <f>IF($B32="","",'Data Entry Sheet'!L49)</f>
      </c>
      <c r="F67" s="85">
        <f>IF($B32="","",'Data Entry Sheet'!M49)</f>
      </c>
      <c r="G67" s="85">
        <f>IF($B32="","",'Data Entry Sheet'!N49)</f>
      </c>
      <c r="H67" s="72">
        <f>IF($B32="","",'Data Entry Sheet'!O49)</f>
      </c>
      <c r="I67" s="49">
        <f>IF(E67=0,0,IF(E67="","",E67/(1+VLOOKUP('[2]Data Entry Sheet'!$B$18,'[2]Constants'!$A$2:$B$22,2,FALSE)*($E67-20))))</f>
      </c>
      <c r="J67" s="50">
        <f>IF(F67=0,0,IF(F67="","",F67/(1+VLOOKUP('[2]Data Entry Sheet'!$B$18,'[2]Constants'!$A$2:$B$22,2,FALSE)*($E67-20))))</f>
      </c>
      <c r="K67" s="50">
        <f>IF(G67=0,0,IF(G67="","",G67/(1+VLOOKUP('[2]Data Entry Sheet'!$B$18,'[2]Constants'!$A$2:$B$22,2,FALSE)*($E67-20))))</f>
      </c>
      <c r="L67" s="50">
        <f>IF(H67=0,0,IF(H67="","",H67/(1+VLOOKUP('[2]Data Entry Sheet'!$B$18,'[2]Constants'!$A$2:$B$22,2,FALSE)*($E67-20))))</f>
      </c>
    </row>
    <row r="68" spans="1:12" ht="12.75">
      <c r="A68" s="62">
        <f>IF($C$2="AA",15,IF($C$2="AA",15,""))</f>
      </c>
      <c r="B68" s="25">
        <f t="shared" si="8"/>
      </c>
      <c r="C68" s="177">
        <f>IF($B33="","",'Data Entry Sheet'!K50)</f>
      </c>
      <c r="D68" s="174">
        <f t="shared" si="9"/>
      </c>
      <c r="E68" s="85">
        <f>IF($B33="","",'Data Entry Sheet'!L50)</f>
      </c>
      <c r="F68" s="85">
        <f>IF($B33="","",'Data Entry Sheet'!M50)</f>
      </c>
      <c r="G68" s="85">
        <f>IF($B33="","",'Data Entry Sheet'!N50)</f>
      </c>
      <c r="H68" s="72">
        <f>IF($B33="","",'Data Entry Sheet'!O50)</f>
      </c>
      <c r="I68" s="49">
        <f>IF(E68=0,0,IF(E68="","",E68/(1+VLOOKUP('[2]Data Entry Sheet'!$B$18,'[2]Constants'!$A$2:$B$22,2,FALSE)*($E68-20))))</f>
      </c>
      <c r="J68" s="50">
        <f>IF(F68=0,0,IF(F68="","",F68/(1+VLOOKUP('[2]Data Entry Sheet'!$B$18,'[2]Constants'!$A$2:$B$22,2,FALSE)*($E68-20))))</f>
      </c>
      <c r="K68" s="50">
        <f>IF(G68=0,0,IF(G68="","",G68/(1+VLOOKUP('[2]Data Entry Sheet'!$B$18,'[2]Constants'!$A$2:$B$22,2,FALSE)*($E68-20))))</f>
      </c>
      <c r="L68" s="50">
        <f>IF(H68=0,0,IF(H68="","",H68/(1+VLOOKUP('[2]Data Entry Sheet'!$B$18,'[2]Constants'!$A$2:$B$22,2,FALSE)*($E68-20))))</f>
      </c>
    </row>
    <row r="69" spans="1:12" ht="12.75">
      <c r="A69" s="62">
        <f>IF($C$2="AA",16,IF($C$2="AA",16,""))</f>
      </c>
      <c r="B69" s="25">
        <f t="shared" si="8"/>
      </c>
      <c r="C69" s="177">
        <f>IF($B34="","",'Data Entry Sheet'!K51)</f>
      </c>
      <c r="D69" s="174">
        <f t="shared" si="9"/>
      </c>
      <c r="E69" s="85">
        <f>IF($B34="","",'Data Entry Sheet'!L51)</f>
      </c>
      <c r="F69" s="85">
        <f>IF($B34="","",'Data Entry Sheet'!M51)</f>
      </c>
      <c r="G69" s="85">
        <f>IF($B34="","",'Data Entry Sheet'!N51)</f>
      </c>
      <c r="H69" s="72">
        <f>IF($B34="","",'Data Entry Sheet'!O51)</f>
      </c>
      <c r="I69" s="49">
        <f>IF(E69=0,0,IF(E69="","",E69/(1+VLOOKUP('[2]Data Entry Sheet'!$B$18,'[2]Constants'!$A$2:$B$22,2,FALSE)*($E69-20))))</f>
      </c>
      <c r="J69" s="50">
        <f>IF(F69=0,0,IF(F69="","",F69/(1+VLOOKUP('[2]Data Entry Sheet'!$B$18,'[2]Constants'!$A$2:$B$22,2,FALSE)*($E69-20))))</f>
      </c>
      <c r="K69" s="50">
        <f>IF(G69=0,0,IF(G69="","",G69/(1+VLOOKUP('[2]Data Entry Sheet'!$B$18,'[2]Constants'!$A$2:$B$22,2,FALSE)*($E69-20))))</f>
      </c>
      <c r="L69" s="50">
        <f>IF(H69=0,0,IF(H69="","",H69/(1+VLOOKUP('[2]Data Entry Sheet'!$B$18,'[2]Constants'!$A$2:$B$22,2,FALSE)*($E69-20))))</f>
      </c>
    </row>
    <row r="70" spans="1:12" ht="12.75">
      <c r="A70" s="62">
        <f>IF($C$2="AA",17,IF($C$2="AA",17,""))</f>
      </c>
      <c r="B70" s="25">
        <f t="shared" si="8"/>
      </c>
      <c r="C70" s="177">
        <f>IF($B35="","",'Data Entry Sheet'!K52)</f>
      </c>
      <c r="D70" s="174">
        <f t="shared" si="9"/>
      </c>
      <c r="E70" s="85">
        <f>IF($B35="","",'Data Entry Sheet'!L52)</f>
      </c>
      <c r="F70" s="85">
        <f>IF($B35="","",'Data Entry Sheet'!M52)</f>
      </c>
      <c r="G70" s="85">
        <f>IF($B35="","",'Data Entry Sheet'!N52)</f>
      </c>
      <c r="H70" s="72">
        <f>IF($B35="","",'Data Entry Sheet'!O52)</f>
      </c>
      <c r="I70" s="49">
        <f>IF(E70=0,0,IF(E70="","",E70/(1+VLOOKUP('[2]Data Entry Sheet'!$B$18,'[2]Constants'!$A$2:$B$22,2,FALSE)*($E70-20))))</f>
      </c>
      <c r="J70" s="50">
        <f>IF(F70=0,0,IF(F70="","",F70/(1+VLOOKUP('[2]Data Entry Sheet'!$B$18,'[2]Constants'!$A$2:$B$22,2,FALSE)*($E70-20))))</f>
      </c>
      <c r="K70" s="50">
        <f>IF(G70=0,0,IF(G70="","",G70/(1+VLOOKUP('[2]Data Entry Sheet'!$B$18,'[2]Constants'!$A$2:$B$22,2,FALSE)*($E70-20))))</f>
      </c>
      <c r="L70" s="50">
        <f>IF(H70=0,0,IF(H70="","",H70/(1+VLOOKUP('[2]Data Entry Sheet'!$B$18,'[2]Constants'!$A$2:$B$22,2,FALSE)*($E70-20))))</f>
      </c>
    </row>
    <row r="71" spans="1:12" ht="12.75">
      <c r="A71" s="62">
        <f>IF($C$2="AA",18,IF($C$2="AA",18,""))</f>
      </c>
      <c r="B71" s="25">
        <f t="shared" si="8"/>
      </c>
      <c r="C71" s="177">
        <f>IF($B36="","",'Data Entry Sheet'!K53)</f>
      </c>
      <c r="D71" s="174">
        <f t="shared" si="9"/>
      </c>
      <c r="E71" s="85">
        <f>IF($B36="","",'Data Entry Sheet'!L53)</f>
      </c>
      <c r="F71" s="85">
        <f>IF($B36="","",'Data Entry Sheet'!M53)</f>
      </c>
      <c r="G71" s="85">
        <f>IF($B36="","",'Data Entry Sheet'!N53)</f>
      </c>
      <c r="H71" s="72">
        <f>IF($B36="","",'Data Entry Sheet'!O53)</f>
      </c>
      <c r="I71" s="49">
        <f>IF(E71=0,0,IF(E71="","",E71/(1+VLOOKUP('[2]Data Entry Sheet'!$B$18,'[2]Constants'!$A$2:$B$22,2,FALSE)*($E71-20))))</f>
      </c>
      <c r="J71" s="50">
        <f>IF(F71=0,0,IF(F71="","",F71/(1+VLOOKUP('[2]Data Entry Sheet'!$B$18,'[2]Constants'!$A$2:$B$22,2,FALSE)*($E71-20))))</f>
      </c>
      <c r="K71" s="50">
        <f>IF(G71=0,0,IF(G71="","",G71/(1+VLOOKUP('[2]Data Entry Sheet'!$B$18,'[2]Constants'!$A$2:$B$22,2,FALSE)*($E71-20))))</f>
      </c>
      <c r="L71" s="50">
        <f>IF(H71=0,0,IF(H71="","",H71/(1+VLOOKUP('[2]Data Entry Sheet'!$B$18,'[2]Constants'!$A$2:$B$22,2,FALSE)*($E71-20))))</f>
      </c>
    </row>
    <row r="72" spans="1:12" ht="12.75">
      <c r="A72" s="62">
        <f>IF($C$2="AA",19,IF($C$2="AA",19,""))</f>
      </c>
      <c r="B72" s="25">
        <f t="shared" si="8"/>
      </c>
      <c r="C72" s="177">
        <f>IF($B37="","",'Data Entry Sheet'!K54)</f>
      </c>
      <c r="D72" s="174">
        <f t="shared" si="9"/>
      </c>
      <c r="E72" s="85">
        <f>IF($B37="","",'Data Entry Sheet'!L54)</f>
      </c>
      <c r="F72" s="85">
        <f>IF($B37="","",'Data Entry Sheet'!M54)</f>
      </c>
      <c r="G72" s="85">
        <f>IF($B37="","",'Data Entry Sheet'!N54)</f>
      </c>
      <c r="H72" s="72">
        <f>IF($B37="","",'Data Entry Sheet'!O54)</f>
      </c>
      <c r="I72" s="49">
        <f>IF(E72=0,0,IF(E72="","",E72/(1+VLOOKUP('[2]Data Entry Sheet'!$B$18,'[2]Constants'!$A$2:$B$22,2,FALSE)*($E72-20))))</f>
      </c>
      <c r="J72" s="50">
        <f>IF(F72=0,0,IF(F72="","",F72/(1+VLOOKUP('[2]Data Entry Sheet'!$B$18,'[2]Constants'!$A$2:$B$22,2,FALSE)*($E72-20))))</f>
      </c>
      <c r="K72" s="50">
        <f>IF(G72=0,0,IF(G72="","",G72/(1+VLOOKUP('[2]Data Entry Sheet'!$B$18,'[2]Constants'!$A$2:$B$22,2,FALSE)*($E72-20))))</f>
      </c>
      <c r="L72" s="50">
        <f>IF(H72=0,0,IF(H72="","",H72/(1+VLOOKUP('[2]Data Entry Sheet'!$B$18,'[2]Constants'!$A$2:$B$22,2,FALSE)*($E72-20))))</f>
      </c>
    </row>
    <row r="73" spans="1:12" ht="12.75">
      <c r="A73" s="62">
        <f>IF($C$2="AA",20,IF($C$2="AA",20,""))</f>
      </c>
      <c r="B73" s="25">
        <f t="shared" si="8"/>
      </c>
      <c r="C73" s="177">
        <f>IF($B38="","",'Data Entry Sheet'!K55)</f>
      </c>
      <c r="D73" s="174">
        <f t="shared" si="9"/>
      </c>
      <c r="E73" s="85">
        <f>IF($B38="","",'Data Entry Sheet'!L55)</f>
      </c>
      <c r="F73" s="85">
        <f>IF($B38="","",'Data Entry Sheet'!M55)</f>
      </c>
      <c r="G73" s="85">
        <f>IF($B38="","",'Data Entry Sheet'!N55)</f>
      </c>
      <c r="H73" s="72">
        <f>IF($B38="","",'Data Entry Sheet'!O55)</f>
      </c>
      <c r="I73" s="49">
        <f>IF(E73=0,0,IF(E73="","",E73/(1+VLOOKUP('[2]Data Entry Sheet'!$B$18,'[2]Constants'!$A$2:$B$22,2,FALSE)*($E73-20))))</f>
      </c>
      <c r="J73" s="50">
        <f>IF(F73=0,0,IF(F73="","",F73/(1+VLOOKUP('[2]Data Entry Sheet'!$B$18,'[2]Constants'!$A$2:$B$22,2,FALSE)*($E73-20))))</f>
      </c>
      <c r="K73" s="50">
        <f>IF(G73=0,0,IF(G73="","",G73/(1+VLOOKUP('[2]Data Entry Sheet'!$B$18,'[2]Constants'!$A$2:$B$22,2,FALSE)*($E73-20))))</f>
      </c>
      <c r="L73" s="50">
        <f>IF(H73=0,0,IF(H73="","",H73/(1+VLOOKUP('[2]Data Entry Sheet'!$B$18,'[2]Constants'!$A$2:$B$22,2,FALSE)*($E73-20))))</f>
      </c>
    </row>
    <row r="74" spans="1:12" ht="12.75">
      <c r="A74" s="62">
        <f>IF($C$2="AA",21,IF($C$2="AA",21,""))</f>
      </c>
      <c r="B74" s="25">
        <f t="shared" si="8"/>
      </c>
      <c r="C74" s="177">
        <f>IF($B39="","",'Data Entry Sheet'!K56)</f>
      </c>
      <c r="D74" s="174">
        <f t="shared" si="9"/>
      </c>
      <c r="E74" s="85">
        <f>IF($B39="","",'Data Entry Sheet'!L56)</f>
      </c>
      <c r="F74" s="85">
        <f>IF($B39="","",'Data Entry Sheet'!M56)</f>
      </c>
      <c r="G74" s="85">
        <f>IF($B39="","",'Data Entry Sheet'!N56)</f>
      </c>
      <c r="H74" s="72">
        <f>IF($B39="","",'Data Entry Sheet'!O56)</f>
      </c>
      <c r="I74" s="49">
        <f>IF(E74=0,0,IF(E74="","",E74/(1+VLOOKUP('[2]Data Entry Sheet'!$B$18,'[2]Constants'!$A$2:$B$22,2,FALSE)*($E74-20))))</f>
      </c>
      <c r="J74" s="50">
        <f>IF(F74=0,0,IF(F74="","",F74/(1+VLOOKUP('[2]Data Entry Sheet'!$B$18,'[2]Constants'!$A$2:$B$22,2,FALSE)*($E74-20))))</f>
      </c>
      <c r="K74" s="50">
        <f>IF(G74=0,0,IF(G74="","",G74/(1+VLOOKUP('[2]Data Entry Sheet'!$B$18,'[2]Constants'!$A$2:$B$22,2,FALSE)*($E74-20))))</f>
      </c>
      <c r="L74" s="50">
        <f>IF(H74=0,0,IF(H74="","",H74/(1+VLOOKUP('[2]Data Entry Sheet'!$B$18,'[2]Constants'!$A$2:$B$22,2,FALSE)*($E74-20))))</f>
      </c>
    </row>
    <row r="75" spans="1:12" ht="12.75">
      <c r="A75" s="62">
        <f>IF($C$2="AA",22,IF($C$2="AA",22,""))</f>
      </c>
      <c r="B75" s="25">
        <f t="shared" si="8"/>
      </c>
      <c r="C75" s="177">
        <f>IF($B40="","",'Data Entry Sheet'!K57)</f>
      </c>
      <c r="D75" s="174">
        <f t="shared" si="9"/>
      </c>
      <c r="E75" s="85">
        <f>IF($B40="","",'Data Entry Sheet'!L57)</f>
      </c>
      <c r="F75" s="85">
        <f>IF($B40="","",'Data Entry Sheet'!M57)</f>
      </c>
      <c r="G75" s="85">
        <f>IF($B40="","",'Data Entry Sheet'!N57)</f>
      </c>
      <c r="H75" s="72">
        <f>IF($B40="","",'Data Entry Sheet'!O57)</f>
      </c>
      <c r="I75" s="49">
        <f>IF(E75=0,0,IF(E75="","",E75/(1+VLOOKUP('[2]Data Entry Sheet'!$B$18,'[2]Constants'!$A$2:$B$22,2,FALSE)*($E75-20))))</f>
      </c>
      <c r="J75" s="50">
        <f>IF(F75=0,0,IF(F75="","",F75/(1+VLOOKUP('[2]Data Entry Sheet'!$B$18,'[2]Constants'!$A$2:$B$22,2,FALSE)*($E75-20))))</f>
      </c>
      <c r="K75" s="50">
        <f>IF(G75=0,0,IF(G75="","",G75/(1+VLOOKUP('[2]Data Entry Sheet'!$B$18,'[2]Constants'!$A$2:$B$22,2,FALSE)*($E75-20))))</f>
      </c>
      <c r="L75" s="50">
        <f>IF(H75=0,0,IF(H75="","",H75/(1+VLOOKUP('[2]Data Entry Sheet'!$B$18,'[2]Constants'!$A$2:$B$22,2,FALSE)*($E75-20))))</f>
      </c>
    </row>
    <row r="76" spans="1:12" ht="12.75">
      <c r="A76" s="62">
        <f>IF($C$2="AA",23,IF($C$2="AA",23,""))</f>
      </c>
      <c r="B76" s="25">
        <f t="shared" si="8"/>
      </c>
      <c r="C76" s="177">
        <f>IF($B41="","",'Data Entry Sheet'!K58)</f>
      </c>
      <c r="D76" s="174">
        <f t="shared" si="9"/>
      </c>
      <c r="E76" s="85">
        <f>IF($B41="","",'Data Entry Sheet'!L58)</f>
      </c>
      <c r="F76" s="85">
        <f>IF($B41="","",'Data Entry Sheet'!M58)</f>
      </c>
      <c r="G76" s="85">
        <f>IF($B41="","",'Data Entry Sheet'!N58)</f>
      </c>
      <c r="H76" s="72">
        <f>IF($B41="","",'Data Entry Sheet'!O58)</f>
      </c>
      <c r="I76" s="49">
        <f>IF(E76=0,0,IF(E76="","",E76/(1+VLOOKUP('[2]Data Entry Sheet'!$B$18,'[2]Constants'!$A$2:$B$22,2,FALSE)*($E76-20))))</f>
      </c>
      <c r="J76" s="50">
        <f>IF(F76=0,0,IF(F76="","",F76/(1+VLOOKUP('[2]Data Entry Sheet'!$B$18,'[2]Constants'!$A$2:$B$22,2,FALSE)*($E76-20))))</f>
      </c>
      <c r="K76" s="50">
        <f>IF(G76=0,0,IF(G76="","",G76/(1+VLOOKUP('[2]Data Entry Sheet'!$B$18,'[2]Constants'!$A$2:$B$22,2,FALSE)*($E76-20))))</f>
      </c>
      <c r="L76" s="50">
        <f>IF(H76=0,0,IF(H76="","",H76/(1+VLOOKUP('[2]Data Entry Sheet'!$B$18,'[2]Constants'!$A$2:$B$22,2,FALSE)*($E76-20))))</f>
      </c>
    </row>
    <row r="77" spans="1:12" ht="12.75">
      <c r="A77" s="62">
        <f>IF($C$2="AA",24,IF($C$2="AA",24,""))</f>
      </c>
      <c r="B77" s="25">
        <f t="shared" si="8"/>
      </c>
      <c r="C77" s="177">
        <f>IF($B42="","",'Data Entry Sheet'!K59)</f>
      </c>
      <c r="D77" s="174">
        <f t="shared" si="9"/>
      </c>
      <c r="E77" s="85">
        <f>IF($B42="","",'Data Entry Sheet'!L59)</f>
      </c>
      <c r="F77" s="85">
        <f>IF($B42="","",'Data Entry Sheet'!M59)</f>
      </c>
      <c r="G77" s="85">
        <f>IF($B42="","",'Data Entry Sheet'!N59)</f>
      </c>
      <c r="H77" s="72">
        <f>IF($B42="","",'Data Entry Sheet'!O59)</f>
      </c>
      <c r="I77" s="49">
        <f>IF(E77=0,0,IF(E77="","",E77/(1+VLOOKUP('[2]Data Entry Sheet'!$B$18,'[2]Constants'!$A$2:$B$22,2,FALSE)*($E77-20))))</f>
      </c>
      <c r="J77" s="50">
        <f>IF(F77=0,0,IF(F77="","",F77/(1+VLOOKUP('[2]Data Entry Sheet'!$B$18,'[2]Constants'!$A$2:$B$22,2,FALSE)*($E77-20))))</f>
      </c>
      <c r="K77" s="50">
        <f>IF(G77=0,0,IF(G77="","",G77/(1+VLOOKUP('[2]Data Entry Sheet'!$B$18,'[2]Constants'!$A$2:$B$22,2,FALSE)*($E77-20))))</f>
      </c>
      <c r="L77" s="50">
        <f>IF(H77=0,0,IF(H77="","",H77/(1+VLOOKUP('[2]Data Entry Sheet'!$B$18,'[2]Constants'!$A$2:$B$22,2,FALSE)*($E77-20))))</f>
      </c>
    </row>
    <row r="78" spans="1:12" ht="13.5" thickBot="1">
      <c r="A78" s="63">
        <f>IF($C$2="AA",25,IF($C$2="AA",25,""))</f>
      </c>
      <c r="B78" s="64">
        <f t="shared" si="8"/>
      </c>
      <c r="C78" s="178">
        <f>IF($B43="","",'Data Entry Sheet'!K60)</f>
      </c>
      <c r="D78" s="175">
        <f t="shared" si="9"/>
      </c>
      <c r="E78" s="86">
        <f>IF($B43="","",'Data Entry Sheet'!L60)</f>
      </c>
      <c r="F78" s="86">
        <f>IF($B43="","",'Data Entry Sheet'!M60)</f>
      </c>
      <c r="G78" s="86">
        <f>IF($B43="","",'Data Entry Sheet'!N60)</f>
      </c>
      <c r="H78" s="73">
        <f>IF($B43="","",'Data Entry Sheet'!O60)</f>
      </c>
      <c r="I78" s="49">
        <f>IF(E78=0,0,IF(E78="","",E78/(1+VLOOKUP('[2]Data Entry Sheet'!$B$18,'[2]Constants'!$A$2:$B$22,2,FALSE)*($E78-20))))</f>
      </c>
      <c r="J78" s="50">
        <f>IF(F78=0,0,IF(F78="","",F78/(1+VLOOKUP('[2]Data Entry Sheet'!$B$18,'[2]Constants'!$A$2:$B$22,2,FALSE)*($E78-20))))</f>
      </c>
      <c r="K78" s="50">
        <f>IF(G78=0,0,IF(G78="","",G78/(1+VLOOKUP('[2]Data Entry Sheet'!$B$18,'[2]Constants'!$A$2:$B$22,2,FALSE)*($E78-20))))</f>
      </c>
      <c r="L78" s="50">
        <f>IF(H78=0,0,IF(H78="","",H78/(1+VLOOKUP('[2]Data Entry Sheet'!$B$18,'[2]Constants'!$A$2:$B$22,2,FALSE)*($E78-20))))</f>
      </c>
    </row>
    <row r="79" spans="6:12" ht="12.75">
      <c r="F79" s="9" t="s">
        <v>10</v>
      </c>
      <c r="H79" s="10"/>
      <c r="I79" s="53">
        <f>IF($C$2="C",AVERAGE(I54:I58),(IF($C$2="b",AVERAGE(I54:I61),IF($C$2="A",AVERAGE(I54:I64),AVERAGE(I54:I78)))))</f>
        <v>0</v>
      </c>
      <c r="J79" s="33">
        <f>IF($C$2="C",AVERAGE(J54:J58),(IF($C$2="b",AVERAGE(J54:J61),IF($C$2="A",AVERAGE(J54:J64),AVERAGE(J54:J78)))))</f>
        <v>0</v>
      </c>
      <c r="K79" s="33">
        <f>IF($C$2="C",AVERAGE(K54:K58),(IF($C$2="b",AVERAGE(K54:K61),IF($C$2="A",AVERAGE(K54:K64),AVERAGE(K54:K78)))))</f>
        <v>0</v>
      </c>
      <c r="L79" s="54">
        <f>IF($C$2="C",AVERAGE(L54:L58),(IF($C$2="b",AVERAGE(L54:L61),IF($C$2="A",AVERAGE(L54:L64),AVERAGE(L54:L78)))))</f>
        <v>0</v>
      </c>
    </row>
    <row r="80" spans="5:12" ht="12.75">
      <c r="E80" s="11"/>
      <c r="F80" s="12" t="s">
        <v>11</v>
      </c>
      <c r="H80" s="13"/>
      <c r="I80" s="55">
        <f>I79*0.95</f>
        <v>0</v>
      </c>
      <c r="J80" s="34">
        <f>J79*0.95</f>
        <v>0</v>
      </c>
      <c r="K80" s="34">
        <f>K79*0.95</f>
        <v>0</v>
      </c>
      <c r="L80" s="35">
        <f>L79*0.95</f>
        <v>0</v>
      </c>
    </row>
    <row r="81" spans="6:12" ht="13.5" thickBot="1">
      <c r="F81" s="12" t="s">
        <v>12</v>
      </c>
      <c r="H81" s="13"/>
      <c r="I81" s="56">
        <f>I79*1.05</f>
        <v>0</v>
      </c>
      <c r="J81" s="57">
        <f>J79*1.05</f>
        <v>0</v>
      </c>
      <c r="K81" s="57">
        <f>K79*1.05</f>
        <v>0</v>
      </c>
      <c r="L81" s="58">
        <f>L79*1.05</f>
        <v>0</v>
      </c>
    </row>
    <row r="82" spans="5:13" ht="12.75">
      <c r="E82" s="15"/>
      <c r="G82" s="32"/>
      <c r="H82" s="32"/>
      <c r="I82" s="32"/>
      <c r="J82" s="222" t="s">
        <v>43</v>
      </c>
      <c r="K82" s="222"/>
      <c r="L82" s="222"/>
      <c r="M82" s="222"/>
    </row>
    <row r="83" spans="5:13" ht="12.75">
      <c r="E83" s="16"/>
      <c r="J83" s="222"/>
      <c r="K83" s="222"/>
      <c r="L83" s="222"/>
      <c r="M83" s="222"/>
    </row>
  </sheetData>
  <sheetProtection/>
  <mergeCells count="29">
    <mergeCell ref="G3:H3"/>
    <mergeCell ref="K3:L3"/>
    <mergeCell ref="C3:D3"/>
    <mergeCell ref="B12:C12"/>
    <mergeCell ref="N3:O3"/>
    <mergeCell ref="J82:M83"/>
    <mergeCell ref="O2:P2"/>
    <mergeCell ref="E16:H17"/>
    <mergeCell ref="I16:L17"/>
    <mergeCell ref="M16:P17"/>
    <mergeCell ref="E46:H48"/>
    <mergeCell ref="E44:H44"/>
    <mergeCell ref="M46:P48"/>
    <mergeCell ref="H12:M12"/>
    <mergeCell ref="B16:B18"/>
    <mergeCell ref="A16:A18"/>
    <mergeCell ref="C16:C18"/>
    <mergeCell ref="A51:A53"/>
    <mergeCell ref="B51:B53"/>
    <mergeCell ref="C51:C53"/>
    <mergeCell ref="D16:D18"/>
    <mergeCell ref="E45:H45"/>
    <mergeCell ref="M49:P49"/>
    <mergeCell ref="M50:P50"/>
    <mergeCell ref="D51:D53"/>
    <mergeCell ref="E51:H51"/>
    <mergeCell ref="E52:H52"/>
    <mergeCell ref="I51:L51"/>
    <mergeCell ref="I52:L52"/>
  </mergeCells>
  <conditionalFormatting sqref="E19:H43">
    <cfRule type="cellIs" priority="1" dxfId="0" operator="greaterThan" stopIfTrue="1">
      <formula>$D19</formula>
    </cfRule>
  </conditionalFormatting>
  <conditionalFormatting sqref="A19:A43 A54:A78">
    <cfRule type="cellIs" priority="2" dxfId="2" operator="equal" stopIfTrue="1">
      <formula>""</formula>
    </cfRule>
  </conditionalFormatting>
  <conditionalFormatting sqref="M19:P43">
    <cfRule type="cellIs" priority="3" dxfId="0" operator="greaterThan" stopIfTrue="1">
      <formula>10</formula>
    </cfRule>
  </conditionalFormatting>
  <conditionalFormatting sqref="K13">
    <cfRule type="cellIs" priority="4" dxfId="3" operator="lessThan" stopIfTrue="1">
      <formula>0</formula>
    </cfRule>
  </conditionalFormatting>
  <conditionalFormatting sqref="I54:L78">
    <cfRule type="cellIs" priority="5" dxfId="0" operator="notBetween" stopIfTrue="1">
      <formula>I$76-0.05</formula>
      <formula>I$77+0.05</formula>
    </cfRule>
  </conditionalFormatting>
  <dataValidations count="1">
    <dataValidation type="list" allowBlank="1" showInputMessage="1" showErrorMessage="1" promptTitle="Wire Type" prompt="Select Wire Type" sqref="F5 C5">
      <formula1>Wire_Type</formula1>
    </dataValidation>
  </dataValidations>
  <printOptions/>
  <pageMargins left="0.45" right="0.12" top="0.24" bottom="0.25" header="0.13" footer="0.13"/>
  <pageSetup fitToHeight="1" fitToWidth="1" horizontalDpi="300" verticalDpi="300" orientation="portrait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workbookViewId="0" topLeftCell="A34">
      <selection activeCell="K10" sqref="K10"/>
    </sheetView>
  </sheetViews>
  <sheetFormatPr defaultColWidth="9.140625" defaultRowHeight="12.75"/>
  <sheetData>
    <row r="1" spans="1:8" s="21" customFormat="1" ht="20.25" customHeight="1">
      <c r="A1" s="93"/>
      <c r="B1" s="93"/>
      <c r="C1" s="93"/>
      <c r="D1" s="231" t="s">
        <v>62</v>
      </c>
      <c r="E1" s="231"/>
      <c r="F1" s="116"/>
      <c r="G1" s="93"/>
      <c r="H1" s="93"/>
    </row>
    <row r="2" spans="1:9" ht="12.75">
      <c r="A2" s="94" t="s">
        <v>49</v>
      </c>
      <c r="B2" s="94"/>
      <c r="C2" s="94"/>
      <c r="D2" s="230">
        <f>Stability!C3</f>
        <v>0</v>
      </c>
      <c r="E2" s="230"/>
      <c r="F2" s="230"/>
      <c r="G2" s="94"/>
      <c r="H2" s="94"/>
      <c r="I2" s="94"/>
    </row>
    <row r="3" spans="1:9" ht="12.75">
      <c r="A3" s="230" t="s">
        <v>50</v>
      </c>
      <c r="B3" s="230"/>
      <c r="C3" s="230"/>
      <c r="D3" s="230"/>
      <c r="E3" s="230"/>
      <c r="F3" s="230"/>
      <c r="G3" s="230"/>
      <c r="H3" s="230"/>
      <c r="I3" s="230"/>
    </row>
    <row r="4" spans="4:6" ht="12.75">
      <c r="D4" s="230">
        <f>Stability!N3</f>
      </c>
      <c r="E4" s="230"/>
      <c r="F4" s="230"/>
    </row>
  </sheetData>
  <sheetProtection/>
  <mergeCells count="4">
    <mergeCell ref="A3:I3"/>
    <mergeCell ref="D4:F4"/>
    <mergeCell ref="D1:E1"/>
    <mergeCell ref="D2:F2"/>
  </mergeCells>
  <printOptions/>
  <pageMargins left="0.91" right="0.95" top="0.45" bottom="0.39" header="0.14" footer="0.12"/>
  <pageSetup fitToHeight="1" fitToWidth="1" horizontalDpi="300" verticalDpi="300" orientation="portrait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A3" sqref="A3"/>
    </sheetView>
  </sheetViews>
  <sheetFormatPr defaultColWidth="9.140625" defaultRowHeight="12.75"/>
  <cols>
    <col min="1" max="1" width="11.421875" style="0" customWidth="1"/>
    <col min="2" max="2" width="11.140625" style="0" customWidth="1"/>
    <col min="6" max="6" width="6.421875" style="0" customWidth="1"/>
    <col min="7" max="7" width="7.7109375" style="0" bestFit="1" customWidth="1"/>
  </cols>
  <sheetData>
    <row r="1" spans="1:2" ht="35.25" customHeight="1" thickBot="1">
      <c r="A1" s="43" t="s">
        <v>45</v>
      </c>
      <c r="B1" s="44" t="s">
        <v>44</v>
      </c>
    </row>
    <row r="2" spans="1:2" ht="12.75">
      <c r="A2" s="39" t="s">
        <v>34</v>
      </c>
      <c r="B2" s="39">
        <v>0.0036</v>
      </c>
    </row>
    <row r="3" spans="1:2" ht="12.75">
      <c r="A3" s="36" t="s">
        <v>35</v>
      </c>
      <c r="B3" s="36">
        <v>0.004</v>
      </c>
    </row>
    <row r="4" spans="1:2" ht="12.75">
      <c r="A4" s="36" t="s">
        <v>40</v>
      </c>
      <c r="B4" s="36">
        <v>0.004</v>
      </c>
    </row>
    <row r="5" spans="1:2" ht="12.75">
      <c r="A5" s="37" t="s">
        <v>52</v>
      </c>
      <c r="B5" s="37"/>
    </row>
    <row r="6" spans="1:2" ht="12.75">
      <c r="A6" s="37"/>
      <c r="B6" s="37"/>
    </row>
    <row r="7" spans="1:2" ht="12.75">
      <c r="A7" s="37"/>
      <c r="B7" s="37"/>
    </row>
    <row r="8" spans="1:2" ht="12.75">
      <c r="A8" s="37"/>
      <c r="B8" s="37"/>
    </row>
    <row r="9" spans="1:2" ht="12.75">
      <c r="A9" s="37"/>
      <c r="B9" s="37"/>
    </row>
    <row r="10" spans="1:2" ht="12.75">
      <c r="A10" s="37"/>
      <c r="B10" s="37"/>
    </row>
    <row r="11" spans="1:2" ht="12.75">
      <c r="A11" s="37"/>
      <c r="B11" s="37"/>
    </row>
    <row r="12" spans="1:2" ht="12.75">
      <c r="A12" s="37"/>
      <c r="B12" s="37"/>
    </row>
    <row r="13" spans="1:2" ht="12.75">
      <c r="A13" s="37"/>
      <c r="B13" s="37"/>
    </row>
    <row r="14" spans="1:2" ht="12.75">
      <c r="A14" s="37"/>
      <c r="B14" s="37"/>
    </row>
    <row r="15" spans="1:2" ht="12.75">
      <c r="A15" s="37"/>
      <c r="B15" s="37"/>
    </row>
    <row r="16" spans="1:2" ht="12.75">
      <c r="A16" s="37"/>
      <c r="B16" s="37"/>
    </row>
    <row r="17" spans="1:2" ht="12.75">
      <c r="A17" s="37"/>
      <c r="B17" s="37"/>
    </row>
    <row r="18" spans="1:2" ht="12.75">
      <c r="A18" s="37"/>
      <c r="B18" s="37"/>
    </row>
    <row r="19" spans="1:2" ht="12.75">
      <c r="A19" s="37"/>
      <c r="B19" s="37"/>
    </row>
    <row r="20" spans="1:2" ht="12.75">
      <c r="A20" s="37"/>
      <c r="B20" s="37"/>
    </row>
    <row r="21" spans="1:2" ht="12.75">
      <c r="A21" s="37"/>
      <c r="B21" s="37"/>
    </row>
    <row r="22" spans="1:2" ht="12.75">
      <c r="A22" s="37"/>
      <c r="B22" s="3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rwestbrook</dc:creator>
  <cp:keywords/>
  <dc:description/>
  <cp:lastModifiedBy>Andrea</cp:lastModifiedBy>
  <cp:lastPrinted>2009-03-10T15:57:28Z</cp:lastPrinted>
  <dcterms:created xsi:type="dcterms:W3CDTF">2007-10-02T11:23:24Z</dcterms:created>
  <dcterms:modified xsi:type="dcterms:W3CDTF">2009-07-27T17:47:51Z</dcterms:modified>
  <cp:category/>
  <cp:version/>
  <cp:contentType/>
  <cp:contentStatus/>
</cp:coreProperties>
</file>